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TFO 2024-25\"/>
    </mc:Choice>
  </mc:AlternateContent>
  <xr:revisionPtr revIDLastSave="0" documentId="13_ncr:1_{DAE86B12-66EA-4250-829F-18C9571D73A3}" xr6:coauthVersionLast="47" xr6:coauthVersionMax="47" xr10:uidLastSave="{00000000-0000-0000-0000-000000000000}"/>
  <bookViews>
    <workbookView xWindow="28680" yWindow="-120" windowWidth="29040" windowHeight="15840" tabRatio="790" activeTab="1" xr2:uid="{82ACA91B-A77D-4940-8F38-CD6FC57E39F3}"/>
  </bookViews>
  <sheets>
    <sheet name="Table of Contents" sheetId="1" r:id="rId1"/>
    <sheet name="Fall 2024 FON Compliance Form" sheetId="9" r:id="rId2"/>
    <sheet name="Fall 2024 Compliance FON" sheetId="3" r:id="rId3"/>
    <sheet name="Definitions" sheetId="2" r:id="rId4"/>
    <sheet name="Fall 2024 P2 FON Calculation" sheetId="5" r:id="rId5"/>
    <sheet name="FON Estimator" sheetId="4" r:id="rId6"/>
    <sheet name="ReplacementCost" sheetId="8" r:id="rId7"/>
  </sheets>
  <definedNames>
    <definedName name="_Dist_Bin" localSheetId="6" hidden="1">#REF!</definedName>
    <definedName name="_Dist_Bin" hidden="1">#REF!</definedName>
    <definedName name="_Dist_Values" localSheetId="6" hidden="1">#REF!</definedName>
    <definedName name="_Dist_Values" hidden="1">#REF!</definedName>
    <definedName name="_Fill" localSheetId="6" hidden="1">#REF!</definedName>
    <definedName name="_Fill" hidden="1">#REF!</definedName>
    <definedName name="_xlnm._FilterDatabase" localSheetId="4" hidden="1">'Fall 2024 P2 FON Calculation'!$B$6:$K$78</definedName>
    <definedName name="_Sort" hidden="1">#REF!</definedName>
    <definedName name="Fall2024ComplianceFON" comment="Use on Fall 2024 FON Compliance Form">'Fall 2024 Compliance FON'!$B$5:$G$77</definedName>
    <definedName name="Fall2024P2" comment="Use in FON estimator ">'Fall 2024 P2 FON Calculation'!$B$7:$K$79</definedName>
    <definedName name="_xlnm.Print_Area" localSheetId="2">'Fall 2024 Compliance FON'!$A$1:$G$77</definedName>
    <definedName name="_xlnm.Print_Area" localSheetId="1">'Fall 2024 FON Compliance Form'!$B$2:$E$52</definedName>
    <definedName name="_xlnm.Print_Area" localSheetId="4">'Fall 2024 P2 FON Calculation'!$A$1:$K$79</definedName>
    <definedName name="_xlnm.Print_Area" localSheetId="5">'FON Estimator'!$A$1:$D$24</definedName>
    <definedName name="_xlnm.Print_Area" localSheetId="6">ReplacementCost!$A$1:$G$49</definedName>
    <definedName name="_xlnm.Print_Titles" localSheetId="2">'Fall 2024 Compliance FON'!$1:$4</definedName>
    <definedName name="_xlnm.Print_Titles" localSheetId="4">'Fall 2024 P2 FON Calculation'!$1:$6</definedName>
    <definedName name="_xlnm.Print_Titles" localSheetId="6">ReplacementCost!$1:$3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5" l="1"/>
  <c r="K77" i="5"/>
  <c r="K76" i="5"/>
  <c r="K75" i="5"/>
  <c r="K74" i="5"/>
  <c r="K73" i="5"/>
  <c r="F71" i="3" s="1"/>
  <c r="G71" i="3" s="1"/>
  <c r="K72" i="5"/>
  <c r="K71" i="5"/>
  <c r="F69" i="3" s="1"/>
  <c r="G69" i="3" s="1"/>
  <c r="K70" i="5"/>
  <c r="K69" i="5"/>
  <c r="K68" i="5"/>
  <c r="K67" i="5"/>
  <c r="K66" i="5"/>
  <c r="K65" i="5"/>
  <c r="K64" i="5"/>
  <c r="K63" i="5"/>
  <c r="F61" i="3" s="1"/>
  <c r="G61" i="3" s="1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F47" i="3" s="1"/>
  <c r="G47" i="3" s="1"/>
  <c r="K48" i="5"/>
  <c r="K47" i="5"/>
  <c r="K46" i="5"/>
  <c r="K45" i="5"/>
  <c r="K44" i="5"/>
  <c r="K43" i="5"/>
  <c r="K42" i="5"/>
  <c r="K41" i="5"/>
  <c r="F39" i="3" s="1"/>
  <c r="G39" i="3" s="1"/>
  <c r="K40" i="5"/>
  <c r="K39" i="5"/>
  <c r="F37" i="3" s="1"/>
  <c r="G37" i="3" s="1"/>
  <c r="K38" i="5"/>
  <c r="K37" i="5"/>
  <c r="K36" i="5"/>
  <c r="K35" i="5"/>
  <c r="K34" i="5"/>
  <c r="K33" i="5"/>
  <c r="K32" i="5"/>
  <c r="K31" i="5"/>
  <c r="F29" i="3" s="1"/>
  <c r="G29" i="3" s="1"/>
  <c r="K30" i="5"/>
  <c r="K29" i="5"/>
  <c r="K28" i="5"/>
  <c r="K27" i="5"/>
  <c r="K26" i="5"/>
  <c r="K25" i="5"/>
  <c r="K24" i="5"/>
  <c r="K23" i="5"/>
  <c r="K22" i="5"/>
  <c r="K21" i="5"/>
  <c r="F19" i="3" s="1"/>
  <c r="G19" i="3" s="1"/>
  <c r="K20" i="5"/>
  <c r="K19" i="5"/>
  <c r="K18" i="5"/>
  <c r="K17" i="5"/>
  <c r="F15" i="3" s="1"/>
  <c r="G15" i="3" s="1"/>
  <c r="K16" i="5"/>
  <c r="K15" i="5"/>
  <c r="K14" i="5"/>
  <c r="K13" i="5"/>
  <c r="F11" i="3" s="1"/>
  <c r="G11" i="3" s="1"/>
  <c r="K12" i="5"/>
  <c r="K11" i="5"/>
  <c r="K10" i="5"/>
  <c r="K9" i="5"/>
  <c r="F7" i="3" s="1"/>
  <c r="G7" i="3" s="1"/>
  <c r="K8" i="5"/>
  <c r="K7" i="5"/>
  <c r="F5" i="3" s="1"/>
  <c r="G5" i="3" s="1"/>
  <c r="F73" i="3"/>
  <c r="G73" i="3" s="1"/>
  <c r="F65" i="3"/>
  <c r="G65" i="3" s="1"/>
  <c r="F57" i="3"/>
  <c r="G57" i="3" s="1"/>
  <c r="F53" i="3"/>
  <c r="G53" i="3" s="1"/>
  <c r="F49" i="3"/>
  <c r="G49" i="3" s="1"/>
  <c r="F45" i="3"/>
  <c r="G45" i="3" s="1"/>
  <c r="F41" i="3"/>
  <c r="G41" i="3" s="1"/>
  <c r="F33" i="3"/>
  <c r="G33" i="3" s="1"/>
  <c r="F25" i="3"/>
  <c r="G25" i="3" s="1"/>
  <c r="F21" i="3"/>
  <c r="G21" i="3" s="1"/>
  <c r="F17" i="3"/>
  <c r="G17" i="3" s="1"/>
  <c r="F13" i="3"/>
  <c r="G13" i="3" s="1"/>
  <c r="F9" i="3"/>
  <c r="G9" i="3" s="1"/>
  <c r="G8" i="3"/>
  <c r="F6" i="3"/>
  <c r="G6" i="3" s="1"/>
  <c r="F8" i="3"/>
  <c r="F10" i="3"/>
  <c r="G10" i="3" s="1"/>
  <c r="F12" i="3"/>
  <c r="G12" i="3" s="1"/>
  <c r="F14" i="3"/>
  <c r="G14" i="3" s="1"/>
  <c r="F16" i="3"/>
  <c r="G16" i="3" s="1"/>
  <c r="F18" i="3"/>
  <c r="G18" i="3" s="1"/>
  <c r="F20" i="3"/>
  <c r="G20" i="3" s="1"/>
  <c r="F22" i="3"/>
  <c r="G22" i="3" s="1"/>
  <c r="F23" i="3"/>
  <c r="G23" i="3" s="1"/>
  <c r="F24" i="3"/>
  <c r="G24" i="3" s="1"/>
  <c r="F26" i="3"/>
  <c r="G26" i="3" s="1"/>
  <c r="F27" i="3"/>
  <c r="G27" i="3" s="1"/>
  <c r="F28" i="3"/>
  <c r="G28" i="3" s="1"/>
  <c r="F30" i="3"/>
  <c r="G30" i="3" s="1"/>
  <c r="F31" i="3"/>
  <c r="G31" i="3" s="1"/>
  <c r="F32" i="3"/>
  <c r="G32" i="3" s="1"/>
  <c r="F34" i="3"/>
  <c r="G34" i="3" s="1"/>
  <c r="F35" i="3"/>
  <c r="G35" i="3" s="1"/>
  <c r="F36" i="3"/>
  <c r="G36" i="3" s="1"/>
  <c r="F38" i="3"/>
  <c r="G38" i="3" s="1"/>
  <c r="F40" i="3"/>
  <c r="G40" i="3" s="1"/>
  <c r="F42" i="3"/>
  <c r="G42" i="3" s="1"/>
  <c r="F43" i="3"/>
  <c r="G43" i="3" s="1"/>
  <c r="F44" i="3"/>
  <c r="G44" i="3" s="1"/>
  <c r="F46" i="3"/>
  <c r="G46" i="3" s="1"/>
  <c r="F48" i="3"/>
  <c r="G48" i="3" s="1"/>
  <c r="F50" i="3"/>
  <c r="G50" i="3" s="1"/>
  <c r="F51" i="3"/>
  <c r="G51" i="3" s="1"/>
  <c r="F52" i="3"/>
  <c r="G52" i="3" s="1"/>
  <c r="F54" i="3"/>
  <c r="G54" i="3" s="1"/>
  <c r="F55" i="3"/>
  <c r="G55" i="3" s="1"/>
  <c r="F56" i="3"/>
  <c r="G56" i="3" s="1"/>
  <c r="F58" i="3"/>
  <c r="G58" i="3" s="1"/>
  <c r="F59" i="3"/>
  <c r="G59" i="3" s="1"/>
  <c r="F60" i="3"/>
  <c r="G60" i="3" s="1"/>
  <c r="F62" i="3"/>
  <c r="G62" i="3" s="1"/>
  <c r="F63" i="3"/>
  <c r="G63" i="3" s="1"/>
  <c r="F64" i="3"/>
  <c r="G64" i="3" s="1"/>
  <c r="F66" i="3"/>
  <c r="G66" i="3" s="1"/>
  <c r="F67" i="3"/>
  <c r="G67" i="3" s="1"/>
  <c r="F68" i="3"/>
  <c r="G68" i="3" s="1"/>
  <c r="F70" i="3"/>
  <c r="G70" i="3" s="1"/>
  <c r="F72" i="3"/>
  <c r="G72" i="3" s="1"/>
  <c r="F74" i="3"/>
  <c r="G74" i="3" s="1"/>
  <c r="F75" i="3"/>
  <c r="G75" i="3" s="1"/>
  <c r="F76" i="3"/>
  <c r="G76" i="3" s="1"/>
  <c r="I49" i="8" l="1"/>
  <c r="I48" i="8"/>
  <c r="I47" i="8"/>
  <c r="I46" i="8"/>
  <c r="I45" i="8"/>
  <c r="I44" i="8"/>
  <c r="I43" i="8"/>
  <c r="I42" i="8"/>
  <c r="C49" i="8"/>
  <c r="D79" i="5"/>
  <c r="C77" i="3"/>
  <c r="D77" i="3"/>
  <c r="E77" i="3"/>
  <c r="E22" i="9" l="1"/>
  <c r="E24" i="9" l="1"/>
  <c r="E26" i="9" s="1"/>
  <c r="G8" i="5" l="1"/>
  <c r="B18" i="8"/>
  <c r="D49" i="8" s="1"/>
  <c r="B24" i="8"/>
  <c r="E49" i="8" s="1"/>
  <c r="G41" i="8"/>
  <c r="G42" i="8"/>
  <c r="G43" i="8"/>
  <c r="G44" i="8"/>
  <c r="G45" i="8"/>
  <c r="G46" i="8"/>
  <c r="B19" i="8" l="1"/>
  <c r="B27" i="8"/>
  <c r="B29" i="8"/>
  <c r="B28" i="8"/>
  <c r="B30" i="8"/>
  <c r="B31" i="8" l="1"/>
  <c r="G47" i="8"/>
  <c r="G48" i="8" l="1"/>
  <c r="F49" i="8"/>
  <c r="G49" i="8" s="1"/>
  <c r="B33" i="8"/>
  <c r="B35" i="8" s="1"/>
  <c r="G13" i="5" l="1"/>
  <c r="D16" i="4"/>
  <c r="D14" i="4"/>
  <c r="D13" i="4"/>
  <c r="D15" i="4"/>
  <c r="D17" i="4" l="1"/>
  <c r="D18" i="4" s="1"/>
  <c r="D19" i="4" s="1"/>
  <c r="D20" i="4" s="1"/>
  <c r="D21" i="4" s="1"/>
  <c r="G78" i="5"/>
  <c r="H78" i="5" s="1"/>
  <c r="I78" i="5" s="1"/>
  <c r="J78" i="5" s="1"/>
  <c r="G77" i="5"/>
  <c r="H77" i="5" s="1"/>
  <c r="I77" i="5" s="1"/>
  <c r="J77" i="5" s="1"/>
  <c r="G76" i="5"/>
  <c r="H76" i="5" s="1"/>
  <c r="I76" i="5" s="1"/>
  <c r="J76" i="5" s="1"/>
  <c r="G75" i="5"/>
  <c r="H75" i="5" s="1"/>
  <c r="I75" i="5" s="1"/>
  <c r="J75" i="5" s="1"/>
  <c r="G74" i="5"/>
  <c r="H74" i="5" s="1"/>
  <c r="I74" i="5" s="1"/>
  <c r="J74" i="5" s="1"/>
  <c r="G73" i="5"/>
  <c r="H73" i="5" s="1"/>
  <c r="I73" i="5" s="1"/>
  <c r="J73" i="5" s="1"/>
  <c r="G72" i="5"/>
  <c r="H72" i="5" s="1"/>
  <c r="I72" i="5" s="1"/>
  <c r="J72" i="5" s="1"/>
  <c r="G71" i="5"/>
  <c r="H71" i="5" s="1"/>
  <c r="I71" i="5" s="1"/>
  <c r="J71" i="5" s="1"/>
  <c r="G70" i="5"/>
  <c r="H70" i="5" s="1"/>
  <c r="I70" i="5" s="1"/>
  <c r="J70" i="5" s="1"/>
  <c r="G69" i="5"/>
  <c r="H69" i="5" s="1"/>
  <c r="I69" i="5" s="1"/>
  <c r="J69" i="5" s="1"/>
  <c r="G68" i="5"/>
  <c r="H68" i="5" s="1"/>
  <c r="I68" i="5" s="1"/>
  <c r="J68" i="5" s="1"/>
  <c r="G67" i="5"/>
  <c r="H67" i="5" s="1"/>
  <c r="I67" i="5" s="1"/>
  <c r="J67" i="5" s="1"/>
  <c r="G66" i="5"/>
  <c r="H66" i="5" s="1"/>
  <c r="I66" i="5" s="1"/>
  <c r="J66" i="5" s="1"/>
  <c r="G65" i="5"/>
  <c r="H65" i="5" s="1"/>
  <c r="I65" i="5" s="1"/>
  <c r="J65" i="5" s="1"/>
  <c r="G64" i="5"/>
  <c r="H64" i="5" s="1"/>
  <c r="I64" i="5" s="1"/>
  <c r="J64" i="5" s="1"/>
  <c r="G63" i="5"/>
  <c r="H63" i="5" s="1"/>
  <c r="I63" i="5" s="1"/>
  <c r="J63" i="5" s="1"/>
  <c r="G62" i="5"/>
  <c r="G61" i="5"/>
  <c r="H61" i="5" s="1"/>
  <c r="I61" i="5" s="1"/>
  <c r="J61" i="5" s="1"/>
  <c r="G60" i="5"/>
  <c r="H60" i="5" s="1"/>
  <c r="I60" i="5" s="1"/>
  <c r="J60" i="5" s="1"/>
  <c r="G59" i="5"/>
  <c r="H59" i="5" s="1"/>
  <c r="I59" i="5" s="1"/>
  <c r="J59" i="5" s="1"/>
  <c r="G58" i="5"/>
  <c r="H58" i="5" s="1"/>
  <c r="I58" i="5" s="1"/>
  <c r="J58" i="5" s="1"/>
  <c r="G57" i="5"/>
  <c r="H57" i="5" s="1"/>
  <c r="I57" i="5" s="1"/>
  <c r="J57" i="5" s="1"/>
  <c r="G56" i="5"/>
  <c r="H56" i="5" s="1"/>
  <c r="I56" i="5" s="1"/>
  <c r="J56" i="5" s="1"/>
  <c r="G55" i="5"/>
  <c r="H55" i="5" s="1"/>
  <c r="I55" i="5" s="1"/>
  <c r="J55" i="5" s="1"/>
  <c r="G54" i="5"/>
  <c r="H54" i="5" s="1"/>
  <c r="I54" i="5" s="1"/>
  <c r="J54" i="5" s="1"/>
  <c r="G53" i="5"/>
  <c r="H53" i="5" s="1"/>
  <c r="I53" i="5" s="1"/>
  <c r="J53" i="5" s="1"/>
  <c r="G52" i="5"/>
  <c r="H52" i="5" s="1"/>
  <c r="I52" i="5" s="1"/>
  <c r="J52" i="5" s="1"/>
  <c r="G51" i="5"/>
  <c r="H51" i="5" s="1"/>
  <c r="I51" i="5" s="1"/>
  <c r="J51" i="5" s="1"/>
  <c r="G50" i="5"/>
  <c r="H50" i="5" s="1"/>
  <c r="I50" i="5" s="1"/>
  <c r="J50" i="5" s="1"/>
  <c r="G49" i="5"/>
  <c r="H49" i="5" s="1"/>
  <c r="I49" i="5" s="1"/>
  <c r="J49" i="5" s="1"/>
  <c r="G48" i="5"/>
  <c r="H48" i="5" s="1"/>
  <c r="I48" i="5" s="1"/>
  <c r="J48" i="5" s="1"/>
  <c r="G47" i="5"/>
  <c r="H47" i="5" s="1"/>
  <c r="I47" i="5" s="1"/>
  <c r="J47" i="5" s="1"/>
  <c r="G46" i="5"/>
  <c r="H46" i="5" s="1"/>
  <c r="I46" i="5" s="1"/>
  <c r="J46" i="5" s="1"/>
  <c r="G45" i="5"/>
  <c r="H45" i="5" s="1"/>
  <c r="I45" i="5" s="1"/>
  <c r="J45" i="5" s="1"/>
  <c r="G44" i="5"/>
  <c r="H44" i="5" s="1"/>
  <c r="I44" i="5" s="1"/>
  <c r="J44" i="5" s="1"/>
  <c r="G43" i="5"/>
  <c r="H43" i="5" s="1"/>
  <c r="I43" i="5" s="1"/>
  <c r="J43" i="5" s="1"/>
  <c r="G42" i="5"/>
  <c r="H42" i="5" s="1"/>
  <c r="I42" i="5" s="1"/>
  <c r="J42" i="5" s="1"/>
  <c r="G41" i="5"/>
  <c r="H41" i="5" s="1"/>
  <c r="I41" i="5" s="1"/>
  <c r="J41" i="5" s="1"/>
  <c r="G40" i="5"/>
  <c r="H40" i="5" s="1"/>
  <c r="I40" i="5" s="1"/>
  <c r="J40" i="5" s="1"/>
  <c r="G39" i="5"/>
  <c r="H39" i="5" s="1"/>
  <c r="I39" i="5" s="1"/>
  <c r="J39" i="5" s="1"/>
  <c r="G38" i="5"/>
  <c r="H38" i="5" s="1"/>
  <c r="I38" i="5" s="1"/>
  <c r="J38" i="5" s="1"/>
  <c r="G37" i="5"/>
  <c r="H37" i="5" s="1"/>
  <c r="I37" i="5" s="1"/>
  <c r="J37" i="5" s="1"/>
  <c r="G36" i="5"/>
  <c r="H36" i="5" s="1"/>
  <c r="I36" i="5" s="1"/>
  <c r="J36" i="5" s="1"/>
  <c r="G35" i="5"/>
  <c r="H35" i="5" s="1"/>
  <c r="I35" i="5" s="1"/>
  <c r="J35" i="5" s="1"/>
  <c r="G34" i="5"/>
  <c r="H34" i="5" s="1"/>
  <c r="I34" i="5" s="1"/>
  <c r="J34" i="5" s="1"/>
  <c r="G33" i="5"/>
  <c r="H33" i="5" s="1"/>
  <c r="I33" i="5" s="1"/>
  <c r="J33" i="5" s="1"/>
  <c r="G32" i="5"/>
  <c r="H32" i="5" s="1"/>
  <c r="I32" i="5" s="1"/>
  <c r="J32" i="5" s="1"/>
  <c r="G31" i="5"/>
  <c r="H31" i="5" s="1"/>
  <c r="I31" i="5" s="1"/>
  <c r="J31" i="5" s="1"/>
  <c r="G30" i="5"/>
  <c r="H30" i="5" s="1"/>
  <c r="I30" i="5" s="1"/>
  <c r="J30" i="5" s="1"/>
  <c r="G29" i="5"/>
  <c r="H29" i="5" s="1"/>
  <c r="I29" i="5" s="1"/>
  <c r="J29" i="5" s="1"/>
  <c r="G28" i="5"/>
  <c r="H28" i="5" s="1"/>
  <c r="I28" i="5" s="1"/>
  <c r="J28" i="5" s="1"/>
  <c r="G27" i="5"/>
  <c r="H27" i="5" s="1"/>
  <c r="I27" i="5" s="1"/>
  <c r="J27" i="5" s="1"/>
  <c r="G26" i="5"/>
  <c r="H26" i="5" s="1"/>
  <c r="I26" i="5" s="1"/>
  <c r="J26" i="5" s="1"/>
  <c r="G25" i="5"/>
  <c r="H25" i="5" s="1"/>
  <c r="I25" i="5" s="1"/>
  <c r="J25" i="5" s="1"/>
  <c r="G24" i="5"/>
  <c r="H24" i="5" s="1"/>
  <c r="I24" i="5" s="1"/>
  <c r="J24" i="5" s="1"/>
  <c r="G23" i="5"/>
  <c r="H23" i="5" s="1"/>
  <c r="I23" i="5" s="1"/>
  <c r="J23" i="5" s="1"/>
  <c r="G22" i="5"/>
  <c r="H22" i="5" s="1"/>
  <c r="I22" i="5" s="1"/>
  <c r="J22" i="5" s="1"/>
  <c r="G21" i="5"/>
  <c r="H21" i="5" s="1"/>
  <c r="I21" i="5" s="1"/>
  <c r="J21" i="5" s="1"/>
  <c r="G20" i="5"/>
  <c r="H20" i="5" s="1"/>
  <c r="I20" i="5" s="1"/>
  <c r="J20" i="5" s="1"/>
  <c r="G19" i="5"/>
  <c r="H19" i="5" s="1"/>
  <c r="I19" i="5" s="1"/>
  <c r="J19" i="5" s="1"/>
  <c r="G18" i="5"/>
  <c r="H18" i="5" s="1"/>
  <c r="I18" i="5" s="1"/>
  <c r="J18" i="5" s="1"/>
  <c r="G17" i="5"/>
  <c r="H17" i="5" s="1"/>
  <c r="I17" i="5" s="1"/>
  <c r="J17" i="5" s="1"/>
  <c r="G16" i="5"/>
  <c r="H16" i="5" s="1"/>
  <c r="I16" i="5" s="1"/>
  <c r="J16" i="5" s="1"/>
  <c r="G15" i="5"/>
  <c r="H15" i="5" s="1"/>
  <c r="I15" i="5" s="1"/>
  <c r="J15" i="5" s="1"/>
  <c r="G14" i="5"/>
  <c r="H14" i="5" s="1"/>
  <c r="I14" i="5" s="1"/>
  <c r="J14" i="5" s="1"/>
  <c r="H13" i="5"/>
  <c r="I13" i="5" s="1"/>
  <c r="J13" i="5" s="1"/>
  <c r="G12" i="5"/>
  <c r="H12" i="5" s="1"/>
  <c r="I12" i="5" s="1"/>
  <c r="J12" i="5" s="1"/>
  <c r="G11" i="5"/>
  <c r="H11" i="5" s="1"/>
  <c r="I11" i="5" s="1"/>
  <c r="J11" i="5" s="1"/>
  <c r="G10" i="5"/>
  <c r="H10" i="5" s="1"/>
  <c r="I10" i="5" s="1"/>
  <c r="J10" i="5" s="1"/>
  <c r="G9" i="5"/>
  <c r="H9" i="5" s="1"/>
  <c r="I9" i="5" s="1"/>
  <c r="J9" i="5" s="1"/>
  <c r="H8" i="5"/>
  <c r="I8" i="5" s="1"/>
  <c r="J8" i="5" s="1"/>
  <c r="G7" i="5"/>
  <c r="E79" i="5"/>
  <c r="C79" i="5"/>
  <c r="H62" i="5"/>
  <c r="I62" i="5" s="1"/>
  <c r="J62" i="5" s="1"/>
  <c r="H7" i="5" l="1"/>
  <c r="I7" i="5" s="1"/>
  <c r="J7" i="5" s="1"/>
  <c r="G79" i="5"/>
  <c r="F77" i="3" l="1"/>
  <c r="H79" i="5"/>
  <c r="I79" i="5" s="1"/>
  <c r="J79" i="5"/>
  <c r="K79" i="5"/>
  <c r="G77" i="3" l="1"/>
  <c r="E31" i="9"/>
  <c r="E32" i="9" s="1"/>
  <c r="E33" i="9" s="1"/>
  <c r="E38" i="9" s="1"/>
</calcChain>
</file>

<file path=xl/sharedStrings.xml><?xml version="1.0" encoding="utf-8"?>
<sst xmlns="http://schemas.openxmlformats.org/spreadsheetml/2006/main" count="419" uniqueCount="279">
  <si>
    <t>California Community Colleges</t>
  </si>
  <si>
    <t>Table of Contents</t>
  </si>
  <si>
    <t>Full-Time Faculty Obligation Number (FON) Workbook</t>
  </si>
  <si>
    <t>FON Estimator</t>
  </si>
  <si>
    <t>Definitions</t>
  </si>
  <si>
    <t>Column</t>
  </si>
  <si>
    <t>Definition</t>
  </si>
  <si>
    <t>Source</t>
  </si>
  <si>
    <t xml:space="preserve">Base FON </t>
  </si>
  <si>
    <t>Prior year FON as calculated per actual funded credit FTES.  Updated at each apportionment cycle and finalized at apportionment recalculation.</t>
  </si>
  <si>
    <t>Base Credit FTES</t>
  </si>
  <si>
    <t xml:space="preserve">Prior year actual funded credit FTES as of most recent apportionment report. Updated at each apportionment cycle and finalized at apportionment recalculation. </t>
  </si>
  <si>
    <t>Funded Credit FTES</t>
  </si>
  <si>
    <t>Current Year funded credit FTES as of most recent apportionment cycle.  Updated at each apportionment cycle and finalized at apportionment recalculation.</t>
  </si>
  <si>
    <t>Deficit Factor</t>
  </si>
  <si>
    <t xml:space="preserve">Applies if state funding is insufficient to fully fund Total Computational Revenue.  </t>
  </si>
  <si>
    <t>Funded Credit FTEs adjusted for Deficit Factor</t>
  </si>
  <si>
    <t>Change in FTES Growth/(Decline)</t>
  </si>
  <si>
    <t>Percent Change (Change in FTES/Base Credit FTES)</t>
  </si>
  <si>
    <t>FTES Adjustment</t>
  </si>
  <si>
    <t>District</t>
  </si>
  <si>
    <t>Allan Hancock</t>
  </si>
  <si>
    <t>Antelope Valley</t>
  </si>
  <si>
    <t>Barstow</t>
  </si>
  <si>
    <t>Butte</t>
  </si>
  <si>
    <t>Cabrillo</t>
  </si>
  <si>
    <t>Cerritos</t>
  </si>
  <si>
    <t>Chabot-Las Positas</t>
  </si>
  <si>
    <t>Chaffey</t>
  </si>
  <si>
    <t>Citrus</t>
  </si>
  <si>
    <t>Coast</t>
  </si>
  <si>
    <t>Compton</t>
  </si>
  <si>
    <t>Contra Costa</t>
  </si>
  <si>
    <t>Copper Mt.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</si>
  <si>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</si>
  <si>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</si>
  <si>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</si>
  <si>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</si>
  <si>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</si>
  <si>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</si>
  <si>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</si>
  <si>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</si>
  <si>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</si>
  <si>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</si>
  <si>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</si>
  <si>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</si>
  <si>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</si>
  <si>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</si>
  <si>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</si>
  <si>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</si>
  <si>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</si>
  <si>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</si>
  <si>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 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</si>
  <si>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</si>
  <si>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</si>
  <si>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</si>
  <si>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</si>
  <si>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</si>
  <si>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</si>
  <si>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</si>
  <si>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</t>
  </si>
  <si>
    <t>Pasadena Area</t>
  </si>
  <si>
    <t>Peralta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</si>
  <si>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</si>
  <si>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</si>
  <si>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</si>
  <si>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</si>
  <si>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</si>
  <si>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</si>
  <si>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</si>
  <si>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</si>
  <si>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Jose-Evergreen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</si>
  <si>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</si>
  <si>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</si>
  <si>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</si>
  <si>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</si>
  <si>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</si>
  <si>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</si>
  <si>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</si>
  <si>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</t>
  </si>
  <si>
    <t>Siskiyou</t>
  </si>
  <si>
    <t>Solano</t>
  </si>
  <si>
    <t>Sonoma County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</si>
  <si>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</si>
  <si>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</si>
  <si>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</si>
  <si>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</si>
  <si>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</si>
  <si>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</si>
  <si>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</si>
  <si>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West Valley-Mission</t>
  </si>
  <si>
    <t>Yosemite</t>
  </si>
  <si>
    <t>Yuba</t>
  </si>
  <si>
    <t>Statewide Total</t>
  </si>
  <si>
    <t>Estimates</t>
  </si>
  <si>
    <t>(a)</t>
  </si>
  <si>
    <t>Base FON</t>
  </si>
  <si>
    <t>(b)</t>
  </si>
  <si>
    <t xml:space="preserve">Base credit FTES </t>
  </si>
  <si>
    <t>(c)</t>
  </si>
  <si>
    <t>Funded credit FTES</t>
  </si>
  <si>
    <t>(d)</t>
  </si>
  <si>
    <t>(1-deficit factor)</t>
  </si>
  <si>
    <t>(e = c*d)</t>
  </si>
  <si>
    <t>Funded credit FTES adjusted for deficit factor</t>
  </si>
  <si>
    <t>(f = e-b)</t>
  </si>
  <si>
    <t>Change in FTES</t>
  </si>
  <si>
    <t>(g = f/b)</t>
  </si>
  <si>
    <t>Percent change in FTES</t>
  </si>
  <si>
    <t>(h = a*g)</t>
  </si>
  <si>
    <t>FTES adjustment</t>
  </si>
  <si>
    <t>Change in FTES 
Growth (Decline)
(f = e-b)</t>
  </si>
  <si>
    <t>Sources</t>
  </si>
  <si>
    <t>Calculated</t>
  </si>
  <si>
    <t>Funded Credit FTES adjusted by Deficit Percentage
(e = c*(1-d))</t>
  </si>
  <si>
    <r>
      <t xml:space="preserve">FTES Adjustment
(h = a*g) 
</t>
    </r>
    <r>
      <rPr>
        <b/>
        <i/>
        <sz val="11"/>
        <color theme="0"/>
        <rFont val="Source Sans Pro"/>
        <family val="2"/>
      </rPr>
      <t>(</t>
    </r>
    <r>
      <rPr>
        <b/>
        <i/>
        <sz val="9"/>
        <color theme="0"/>
        <rFont val="Source Sans Pro"/>
        <family val="2"/>
      </rPr>
      <t>rounded</t>
    </r>
    <r>
      <rPr>
        <b/>
        <i/>
        <sz val="11"/>
        <color theme="0"/>
        <rFont val="Source Sans Pro"/>
        <family val="2"/>
      </rPr>
      <t>)</t>
    </r>
  </si>
  <si>
    <t>(i = a + h)</t>
  </si>
  <si>
    <t>vlookup</t>
  </si>
  <si>
    <t>Tab Instructions</t>
  </si>
  <si>
    <t>Percent Change 
Change in FTES/Base Credit FTES
(g = f/b)</t>
  </si>
  <si>
    <t>Adjustment to reflect that statewide Total Computational Revenue is estimated as not fully funded. For apportionments, the deficit factor is applied to the dollar amount of funding (FTES x funding rate).  For the purposes of calculating the FON, we apply the deficit factor directly to the number of FTES.  (Funded Credit FTES x  Deficit Factor)</t>
  </si>
  <si>
    <t>This column reflects the difference between the prior and current year estimated FTES.
Change in FTES from Prior Year 
(Adjusted Funded Credit FTES - Base Credit FTES)</t>
  </si>
  <si>
    <t>The FTES adjustment is the Increase or decrease to FON due to change in FTES  
(Percent Change * Base FON) rounded down to nearest whole number.</t>
  </si>
  <si>
    <t>For any assistance with the FON workbook, please contact: Jubilee Smallwood at jsmallwood@cccco.edu</t>
  </si>
  <si>
    <t xml:space="preserve">Replacement Cost </t>
  </si>
  <si>
    <t>Date:</t>
  </si>
  <si>
    <t>I hereby certify that the information above is true and correct to the best of my knowledge.</t>
  </si>
  <si>
    <t>Phone:</t>
  </si>
  <si>
    <t>Email:</t>
  </si>
  <si>
    <t>Name &amp; Title:</t>
  </si>
  <si>
    <t>=</t>
  </si>
  <si>
    <t>Estimated Penalty</t>
  </si>
  <si>
    <t>ß</t>
  </si>
  <si>
    <t>Select district from dropdown menu</t>
  </si>
  <si>
    <t>Instructions/Notes</t>
  </si>
  <si>
    <t>Full-Time Faculty Obligation</t>
  </si>
  <si>
    <t>Fall 2023
Compliance FON</t>
  </si>
  <si>
    <t>Fall 2021</t>
  </si>
  <si>
    <t>Fall 2020</t>
  </si>
  <si>
    <t>Fall 2019</t>
  </si>
  <si>
    <t>Fall 2018</t>
  </si>
  <si>
    <t>Fall 2017</t>
  </si>
  <si>
    <t>Fall 2016</t>
  </si>
  <si>
    <t>Fall 2015</t>
  </si>
  <si>
    <t>PT-ben (calculated)</t>
  </si>
  <si>
    <t>Avg. P/T</t>
  </si>
  <si>
    <t>FT-benefit (calculated)</t>
  </si>
  <si>
    <t xml:space="preserve">Avg. F/T  </t>
  </si>
  <si>
    <t>E.=(A.+B.)-(C.+D.)</t>
  </si>
  <si>
    <t>D.</t>
  </si>
  <si>
    <t>C.</t>
  </si>
  <si>
    <t>B.</t>
  </si>
  <si>
    <t>A.</t>
  </si>
  <si>
    <t>Historical Faculty Replacement Cost</t>
  </si>
  <si>
    <t>Replacement Cost (A-B)(rounded to whole dollars)</t>
  </si>
  <si>
    <t>E.</t>
  </si>
  <si>
    <t>Total Part-time faculty cost</t>
  </si>
  <si>
    <t>Total cost of mandatory contributions  10.75%</t>
  </si>
  <si>
    <t>Worker's Compensation, 1.5%</t>
  </si>
  <si>
    <t>Employment training,.1%</t>
  </si>
  <si>
    <t>Unemployment insurance, 1.5%</t>
  </si>
  <si>
    <t>Social security/retirement, 7.65%</t>
  </si>
  <si>
    <t>Part-time faculty mandatory contributions</t>
  </si>
  <si>
    <t>(15WFCH per week x 35 weeks x $xxx WFCH)</t>
  </si>
  <si>
    <t>PT faculty workload equivalent (calculated using FTEF for credit and noncredit)</t>
  </si>
  <si>
    <t>Average PT faculty hourly rate for Fall (Use statewide average hourly salary for Academic Temporary - Instruction, Credit &amp; Noncredit)</t>
  </si>
  <si>
    <t>Part-time Faculty Offset</t>
  </si>
  <si>
    <t>Total Compensation</t>
  </si>
  <si>
    <t>Optional Benefits and mandatory contributions @25%</t>
  </si>
  <si>
    <t xml:space="preserve">Average Annual Salary Tenured/Tenure Track </t>
  </si>
  <si>
    <t>Full-time Faculty Cost</t>
  </si>
  <si>
    <t>Statewide Average Replacement Cost</t>
  </si>
  <si>
    <t xml:space="preserve">Step 2:
Use two reports to calculate faculty replacement cost for past Fall. 
Input statewide average salary and statewide academic temporary for as per title 5 51025 (d).
Once inputs are entered, then it will calculate replacement cost. </t>
  </si>
  <si>
    <t>Instructions:</t>
  </si>
  <si>
    <t xml:space="preserve">The statewide average full-time faculty teaching load is equal to a full-time equivalent student’s contact hours of 525 hours per semester (see Title 5 section 58003.1), or 15 weekly faculty contact hours x 35 weeks = 525. 
</t>
  </si>
  <si>
    <t xml:space="preserve">Methodology: </t>
  </si>
  <si>
    <t>Select Report (Fall) Year</t>
  </si>
  <si>
    <t>Employee Category Salary Distribution by District</t>
  </si>
  <si>
    <t>Select Report Type</t>
  </si>
  <si>
    <t>For Average Hourly Rate - Find Academic Temporary - Instruction, Credit &amp; Noncredit Statewide Rate</t>
  </si>
  <si>
    <t>Salary Distribution by District</t>
  </si>
  <si>
    <t>For Average Annual Salary - Find Tenured/Tenure Track Statewide Total</t>
  </si>
  <si>
    <t>Step 1:
To find reports use the following link:  https://datamart.cccco.edu/Faculty-Staff/Staff_Annual.aspx</t>
  </si>
  <si>
    <r>
      <t xml:space="preserve">Use Management Information Systems Data Mart, Annual Statewide Staffing Reports 
</t>
    </r>
    <r>
      <rPr>
        <b/>
        <sz val="11"/>
        <color theme="1"/>
        <rFont val="Calibri"/>
        <family val="2"/>
        <scheme val="minor"/>
      </rPr>
      <t/>
    </r>
  </si>
  <si>
    <t>Source:</t>
  </si>
  <si>
    <t xml:space="preserve">Report information is typically available in Spring and districts must provide by January 31. </t>
  </si>
  <si>
    <t xml:space="preserve"> Input your estimate of total of  3 year average Credit + Special Admit Credit + Incarcerated Credit</t>
  </si>
  <si>
    <t>Input your estimated deficit factor</t>
  </si>
  <si>
    <t>R1 Funded Credit FTES</t>
  </si>
  <si>
    <t>Automatically populates from your estimate in Cell D7 above</t>
  </si>
  <si>
    <t>Automatically populates from your estimate in Cell D8 above</t>
  </si>
  <si>
    <t>Estimated R1 FON</t>
  </si>
  <si>
    <t>Replacement Cost (rounded)</t>
  </si>
  <si>
    <t>Fall 2022</t>
  </si>
  <si>
    <t>Datamart Report Fall Year</t>
  </si>
  <si>
    <t>FON Compliance Fall Year</t>
  </si>
  <si>
    <t>Fall 2023</t>
  </si>
  <si>
    <t xml:space="preserve">Full-Time Equivalent Faculty (FTEF) Calculation </t>
  </si>
  <si>
    <t>Full-time equivalent faculty indicates the full-time load factor associated with each assignment. A regular full-time load is considered to be 100% and expressed as 1.0 FTEF.  A half-time load is considered 50% and is expressed as 0.5 FTEF.</t>
  </si>
  <si>
    <t>Full-Time FTEF, calculated per Title 5 section 53309</t>
  </si>
  <si>
    <t>FTEF</t>
  </si>
  <si>
    <t>Include sabbatical, released/reassigned time, paid medical leave, unpaid leave, and late retirement</t>
  </si>
  <si>
    <t>Total Full-Time FTEF</t>
  </si>
  <si>
    <t>Part-Time FTEF, calculated per Title 5 section 53310</t>
  </si>
  <si>
    <t xml:space="preserve">Credit instruction and noninstructional activities </t>
  </si>
  <si>
    <t>Exclude any workload attributed to replacing full-time faculty for sabbatical, released/reassigned, paid medical leave, unpaid leave, and for late retirement</t>
  </si>
  <si>
    <t>Total Part-Time FTEF</t>
  </si>
  <si>
    <t>Total FTEF</t>
  </si>
  <si>
    <t>Progress Toward Goal of 75% of Classroom Instruction Taught by Full-Time Faculty</t>
  </si>
  <si>
    <t>Full-time faculty obligation</t>
  </si>
  <si>
    <t xml:space="preserve">If a district has incurred a penalty, the district will receive an invoice for the penalty amount. </t>
  </si>
  <si>
    <t>Statewide average replacement cost:</t>
  </si>
  <si>
    <t>Estimated penalty is the statewide average replacement cost multiplied by deficiency in meeting the full-time faculty obligation.</t>
  </si>
  <si>
    <t>Printed Name, Title:</t>
  </si>
  <si>
    <t>Digital Signature:</t>
  </si>
  <si>
    <t>District Administrative Contact Information:</t>
  </si>
  <si>
    <t>Select district name from drop down</t>
  </si>
  <si>
    <r>
      <t>Over</t>
    </r>
    <r>
      <rPr>
        <sz val="12"/>
        <color rgb="FFC00000"/>
        <rFont val="Source Sans Pro"/>
        <family val="2"/>
      </rPr>
      <t>(Under)</t>
    </r>
    <r>
      <rPr>
        <sz val="12"/>
        <color theme="1"/>
        <rFont val="Source Sans Pro"/>
        <family val="2"/>
      </rPr>
      <t xml:space="preserve"> full-time faculty obligation</t>
    </r>
  </si>
  <si>
    <r>
      <t>District Executive Officer (</t>
    </r>
    <r>
      <rPr>
        <b/>
        <i/>
        <sz val="12"/>
        <color theme="1"/>
        <rFont val="Source Sans Pro"/>
        <family val="2"/>
      </rPr>
      <t>CEO, CBO, or CHRO</t>
    </r>
    <r>
      <rPr>
        <b/>
        <sz val="12"/>
        <color theme="1"/>
        <rFont val="Source Sans Pro"/>
        <family val="2"/>
      </rPr>
      <t>):</t>
    </r>
  </si>
  <si>
    <t xml:space="preserve">Enter </t>
  </si>
  <si>
    <t xml:space="preserve">Output </t>
  </si>
  <si>
    <t>Output</t>
  </si>
  <si>
    <t>Percentage Output</t>
  </si>
  <si>
    <t>Automatically calculates</t>
  </si>
  <si>
    <t>The percent change in FTES from prior year to current year.
(Change in FTES/Base Credit FTES)</t>
  </si>
  <si>
    <t>Workbook Tabs</t>
  </si>
  <si>
    <t>Regular assignment -full-time faculty credit instruction excluding overload</t>
  </si>
  <si>
    <t>Classified staff regular assignment - credit instruction</t>
  </si>
  <si>
    <t>Administrative staff regular assignment - credit instruction</t>
  </si>
  <si>
    <t>Noninstructional activities of counselors, librarians, and other faculty</t>
  </si>
  <si>
    <r>
      <t xml:space="preserve">Enter as a </t>
    </r>
    <r>
      <rPr>
        <b/>
        <sz val="12"/>
        <color theme="1"/>
        <rFont val="Source Sans Pro"/>
        <family val="2"/>
      </rPr>
      <t>negative</t>
    </r>
  </si>
  <si>
    <t>District must complete and submit the form to our office on or before November 1, 2024</t>
  </si>
  <si>
    <t>Presented by district includes the prior Fall compliance, district reported, advance, second principal (P2) and compliance FON.</t>
  </si>
  <si>
    <t>Fall 2024 Compliance Form</t>
  </si>
  <si>
    <t>Fall 2024 FON Compliance Form</t>
  </si>
  <si>
    <t xml:space="preserve">Fall 2024 FON Compliance </t>
  </si>
  <si>
    <t xml:space="preserve">The Board of Governors, at their November 2023 meeting, fully implemented the FON for Fall 2024.  </t>
  </si>
  <si>
    <t>Does the district meet or exceed the Fall 2024 full-time faculty obligation?</t>
  </si>
  <si>
    <t xml:space="preserve">Please complete and return this form as a PDF by November 1, 2024 to fiscalstandards@cccco.edu </t>
  </si>
  <si>
    <t>Automatically populates from Fall 2024 Compliance FON</t>
  </si>
  <si>
    <t>Fall 2024 Compliance FON</t>
  </si>
  <si>
    <t xml:space="preserve">Fall 2023
Reported FON </t>
  </si>
  <si>
    <t>Fall 2024
Advance FON</t>
  </si>
  <si>
    <t>Fall 2024 
P2 FON</t>
  </si>
  <si>
    <t>Fall 2024
Compliance FON</t>
  </si>
  <si>
    <t>Definitions for Fall 2024 P2 FON Calculation Tab</t>
  </si>
  <si>
    <t>Fall 2023 R1 FON calculation</t>
  </si>
  <si>
    <t xml:space="preserve">2022-23 R1 Funded Credit FTES, February 2024
 Exhibit C, Section 1a: FTES Data and Calculations, column i "2022-23 Funded", Credit + Special Admit Credit + Incarcerated Credit.  </t>
  </si>
  <si>
    <t xml:space="preserve">2023-24 P2 Funded Credit FTES, June 2024
Exhibit C, Section 1a: FTES Data and Calculations, column i, "2023-24 Funded", Credit + Special Admit Credit + Incarcerated Credit.  </t>
  </si>
  <si>
    <t>2023-24 P2 Revenue Deficit Percentage.</t>
  </si>
  <si>
    <t>Calculated in Fall 2024 P2 FON Calculation tab spreadsheet.</t>
  </si>
  <si>
    <t xml:space="preserve">The Fall 2024 P2 FON will be used to determine the compliance FON. FON is calculated at either Advance (AD) or at the second principal apportionment (P2). </t>
  </si>
  <si>
    <t xml:space="preserve">Fall 2024 P2 Faculty Obligation Number </t>
  </si>
  <si>
    <t>Use Fall 2023 R1 workbook (see Column K)</t>
  </si>
  <si>
    <t>Base FON:
2022-23 Fall 2022 R1 FON
(a)</t>
  </si>
  <si>
    <t>Provided by SCFF 2023-24 P2 Exhibit C</t>
  </si>
  <si>
    <t>Funded Credit FTES:
2023-24 P2 Funded Credit FTES
(c )</t>
  </si>
  <si>
    <t>2023-24 P2
Deficit Percentage
(d)</t>
  </si>
  <si>
    <t>Fall 2024 P2
FON
(i =  a+ h)</t>
  </si>
  <si>
    <t>Base FTES: 
2022-23 R1 Funded Credit FTES
(b)</t>
  </si>
  <si>
    <t>Used Fall 2023 R1 (see Column E)</t>
  </si>
  <si>
    <t>Fall 2024 R1 FON Estimator Tool</t>
  </si>
  <si>
    <t>Estimated Fall 2024 R1 FON</t>
  </si>
  <si>
    <t>Automatically populates from Tab "Fall 2024 P2 FON Calculation" by choosing district.</t>
  </si>
  <si>
    <t>Full-Time Faculty Replacement Cost Calculated June 2024</t>
  </si>
  <si>
    <t>Choose (Fall) year 2023</t>
  </si>
  <si>
    <t>Fall 2024</t>
  </si>
  <si>
    <t>-</t>
  </si>
  <si>
    <t>% Change (+/-)</t>
  </si>
  <si>
    <t>Displays the data used to calculate the Faculty Obligation Number (FON) for Fall 2024 P2.</t>
  </si>
  <si>
    <t>Assists district with projecting R1 FON for Fall 2024.</t>
  </si>
  <si>
    <t xml:space="preserve">Displays calculations for the average replacement cost for Fall 2024 used on the compliance form.  </t>
  </si>
  <si>
    <t>Fall 2024 P2 FON Calculation</t>
  </si>
  <si>
    <t>Fall 2024 P2 FON</t>
  </si>
  <si>
    <t xml:space="preserve">Provides definitions for Fall 2024 P2 FON calculations and sources. </t>
  </si>
  <si>
    <t xml:space="preserve">Anna Gonzalez, HR Specialist </t>
  </si>
  <si>
    <t>annagonz@kccd.edu</t>
  </si>
  <si>
    <t>661-336-5138</t>
  </si>
  <si>
    <t>Melissa Thornsberry, Acting Chief Financial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</si>
</sst>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%"/>
    <numFmt numFmtId="165" formatCode="0.0%"/>
    <numFmt numFmtId="166" formatCode="#,##0.0"/>
    <numFmt numFmtId="167" formatCode="_(&quot;$&quot;* #,##0_);_(&quot;$&quot;* \(#,##0\);_(&quot;$&quot;* &quot;-&quot;??_);_(@_)"/>
    <numFmt numFmtId="168" formatCode="#,##0.0000000"/>
    <numFmt numFmtId="169" formatCode="_([$$-409]* #,##0.00_);_([$$-409]* \(#,##0.00\);_([$$-409]* &quot;-&quot;??_);_(@_)"/>
    <numFmt numFmtId="170" formatCode="#,##0.00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2F6D"/>
      <name val="Crimson"/>
      <family val="1"/>
    </font>
    <font>
      <b/>
      <sz val="11"/>
      <color theme="0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i/>
      <sz val="10"/>
      <color rgb="FF7F7F7F"/>
      <name val="Calibri"/>
      <family val="2"/>
      <scheme val="minor"/>
    </font>
    <font>
      <b/>
      <i/>
      <sz val="11"/>
      <color theme="0"/>
      <name val="Source Sans Pro"/>
      <family val="2"/>
    </font>
    <font>
      <b/>
      <i/>
      <sz val="9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sz val="12"/>
      <color rgb="FF3F3F76"/>
      <name val="Calibri"/>
      <family val="2"/>
      <scheme val="minor"/>
    </font>
    <font>
      <b/>
      <sz val="14"/>
      <color theme="1"/>
      <name val="Source Sans Pro"/>
      <family val="2"/>
    </font>
    <font>
      <b/>
      <sz val="15"/>
      <color rgb="FF002F6D"/>
      <name val="Source Sans Pro Semibold"/>
      <family val="2"/>
    </font>
    <font>
      <b/>
      <sz val="14"/>
      <color theme="1"/>
      <name val="Source Sans Pro Semibold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Source Sans Pro"/>
      <family val="2"/>
    </font>
    <font>
      <sz val="12"/>
      <name val="Source Sans Pro"/>
      <family val="2"/>
    </font>
    <font>
      <sz val="11"/>
      <color rgb="FF002F6D"/>
      <name val="Wingdings"/>
      <charset val="2"/>
    </font>
    <font>
      <b/>
      <sz val="14"/>
      <color rgb="FF002F6D"/>
      <name val="Source Sans Pro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8"/>
      <color theme="3"/>
      <name val="Calibri Light"/>
      <family val="2"/>
      <scheme val="major"/>
    </font>
    <font>
      <b/>
      <sz val="17"/>
      <color rgb="FF002F6D"/>
      <name val="Crimson"/>
      <family val="1"/>
    </font>
    <font>
      <b/>
      <sz val="11"/>
      <color rgb="FF3F3F3F"/>
      <name val="Calibri"/>
      <family val="2"/>
      <scheme val="minor"/>
    </font>
    <font>
      <b/>
      <u/>
      <sz val="11"/>
      <color theme="1"/>
      <name val="Source Sans Pro"/>
      <family val="2"/>
    </font>
    <font>
      <b/>
      <sz val="12"/>
      <color rgb="FF3F3F3F"/>
      <name val="Calibri"/>
      <family val="2"/>
      <scheme val="minor"/>
    </font>
    <font>
      <sz val="12"/>
      <color rgb="FFC00000"/>
      <name val="Source Sans Pro"/>
      <family val="2"/>
    </font>
    <font>
      <b/>
      <sz val="12"/>
      <name val="Source Sans Pro"/>
      <family val="2"/>
    </font>
    <font>
      <b/>
      <i/>
      <sz val="12"/>
      <color theme="1"/>
      <name val="Source Sans Pro"/>
      <family val="2"/>
    </font>
    <font>
      <sz val="12"/>
      <color rgb="FF3F3F76"/>
      <name val="Source Sans Pro"/>
      <family val="2"/>
    </font>
    <font>
      <b/>
      <sz val="12"/>
      <color rgb="FF3F3F3F"/>
      <name val="Source Sans Pro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66BA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medium">
        <color indexed="64"/>
      </right>
      <top style="thin">
        <color theme="6" tint="0.39997558519241921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35" fillId="11" borderId="47" applyNumberFormat="0" applyAlignment="0" applyProtection="0"/>
  </cellStyleXfs>
  <cellXfs count="195">
    <xf numFmtId="0" fontId="0" fillId="0" borderId="0" xfId="0"/>
    <xf numFmtId="0" fontId="5" fillId="3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165" fontId="7" fillId="0" borderId="0" xfId="3" applyNumberFormat="1" applyFont="1"/>
    <xf numFmtId="0" fontId="8" fillId="0" borderId="0" xfId="0" applyFont="1" applyAlignment="1">
      <alignment horizontal="center" wrapText="1"/>
    </xf>
    <xf numFmtId="0" fontId="3" fillId="0" borderId="0" xfId="5"/>
    <xf numFmtId="165" fontId="3" fillId="0" borderId="0" xfId="5" applyNumberFormat="1"/>
    <xf numFmtId="0" fontId="3" fillId="0" borderId="0" xfId="5" applyAlignment="1">
      <alignment wrapText="1"/>
    </xf>
    <xf numFmtId="0" fontId="12" fillId="0" borderId="0" xfId="5" applyFont="1" applyAlignment="1">
      <alignment wrapText="1"/>
    </xf>
    <xf numFmtId="0" fontId="19" fillId="3" borderId="0" xfId="0" applyFont="1" applyFill="1" applyAlignment="1">
      <alignment horizontal="left" vertical="top"/>
    </xf>
    <xf numFmtId="0" fontId="20" fillId="0" borderId="0" xfId="0" applyFont="1"/>
    <xf numFmtId="166" fontId="0" fillId="0" borderId="0" xfId="0" applyNumberFormat="1"/>
    <xf numFmtId="0" fontId="20" fillId="0" borderId="0" xfId="0" applyFont="1" applyAlignment="1">
      <alignment vertical="center"/>
    </xf>
    <xf numFmtId="0" fontId="21" fillId="0" borderId="4" xfId="6" applyBorder="1" applyAlignment="1">
      <alignment horizontal="left" vertical="top" wrapText="1"/>
    </xf>
    <xf numFmtId="0" fontId="21" fillId="0" borderId="4" xfId="6" applyFill="1" applyBorder="1"/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43" fontId="7" fillId="0" borderId="0" xfId="1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66" fontId="9" fillId="5" borderId="18" xfId="0" applyNumberFormat="1" applyFont="1" applyFill="1" applyBorder="1"/>
    <xf numFmtId="166" fontId="9" fillId="5" borderId="19" xfId="0" applyNumberFormat="1" applyFont="1" applyFill="1" applyBorder="1"/>
    <xf numFmtId="166" fontId="9" fillId="5" borderId="20" xfId="0" applyNumberFormat="1" applyFont="1" applyFill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7" xfId="0" applyNumberFormat="1" applyFont="1" applyBorder="1"/>
    <xf numFmtId="166" fontId="9" fillId="5" borderId="15" xfId="0" applyNumberFormat="1" applyFont="1" applyFill="1" applyBorder="1"/>
    <xf numFmtId="166" fontId="9" fillId="5" borderId="16" xfId="0" applyNumberFormat="1" applyFont="1" applyFill="1" applyBorder="1"/>
    <xf numFmtId="166" fontId="9" fillId="5" borderId="17" xfId="0" applyNumberFormat="1" applyFont="1" applyFill="1" applyBorder="1"/>
    <xf numFmtId="3" fontId="4" fillId="0" borderId="21" xfId="0" applyNumberFormat="1" applyFont="1" applyBorder="1"/>
    <xf numFmtId="166" fontId="4" fillId="0" borderId="22" xfId="0" applyNumberFormat="1" applyFont="1" applyBorder="1"/>
    <xf numFmtId="166" fontId="4" fillId="0" borderId="23" xfId="0" applyNumberFormat="1" applyFont="1" applyBorder="1"/>
    <xf numFmtId="0" fontId="0" fillId="0" borderId="4" xfId="0" applyBorder="1"/>
    <xf numFmtId="165" fontId="6" fillId="4" borderId="8" xfId="3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/>
    <xf numFmtId="43" fontId="9" fillId="5" borderId="19" xfId="1" applyFont="1" applyFill="1" applyBorder="1"/>
    <xf numFmtId="164" fontId="9" fillId="5" borderId="19" xfId="3" applyNumberFormat="1" applyFont="1" applyFill="1" applyBorder="1"/>
    <xf numFmtId="41" fontId="9" fillId="5" borderId="19" xfId="2" applyFont="1" applyFill="1" applyBorder="1"/>
    <xf numFmtId="10" fontId="9" fillId="5" borderId="19" xfId="3" applyNumberFormat="1" applyFont="1" applyFill="1" applyBorder="1"/>
    <xf numFmtId="41" fontId="9" fillId="5" borderId="19" xfId="0" applyNumberFormat="1" applyFont="1" applyFill="1" applyBorder="1"/>
    <xf numFmtId="3" fontId="9" fillId="0" borderId="29" xfId="0" applyNumberFormat="1" applyFont="1" applyBorder="1"/>
    <xf numFmtId="166" fontId="9" fillId="0" borderId="30" xfId="0" applyNumberFormat="1" applyFont="1" applyBorder="1"/>
    <xf numFmtId="43" fontId="9" fillId="0" borderId="30" xfId="1" applyFont="1" applyBorder="1"/>
    <xf numFmtId="164" fontId="9" fillId="0" borderId="30" xfId="3" applyNumberFormat="1" applyFont="1" applyBorder="1"/>
    <xf numFmtId="41" fontId="9" fillId="0" borderId="30" xfId="2" applyFont="1" applyBorder="1"/>
    <xf numFmtId="10" fontId="9" fillId="0" borderId="30" xfId="3" applyNumberFormat="1" applyFont="1" applyBorder="1"/>
    <xf numFmtId="41" fontId="9" fillId="0" borderId="30" xfId="0" applyNumberFormat="1" applyFont="1" applyBorder="1"/>
    <xf numFmtId="166" fontId="10" fillId="0" borderId="31" xfId="0" applyNumberFormat="1" applyFont="1" applyBorder="1"/>
    <xf numFmtId="3" fontId="9" fillId="5" borderId="29" xfId="0" applyNumberFormat="1" applyFont="1" applyFill="1" applyBorder="1"/>
    <xf numFmtId="166" fontId="9" fillId="5" borderId="30" xfId="0" applyNumberFormat="1" applyFont="1" applyFill="1" applyBorder="1"/>
    <xf numFmtId="43" fontId="9" fillId="5" borderId="30" xfId="1" applyFont="1" applyFill="1" applyBorder="1"/>
    <xf numFmtId="164" fontId="9" fillId="5" borderId="30" xfId="3" applyNumberFormat="1" applyFont="1" applyFill="1" applyBorder="1"/>
    <xf numFmtId="41" fontId="9" fillId="5" borderId="30" xfId="2" applyFont="1" applyFill="1" applyBorder="1"/>
    <xf numFmtId="10" fontId="9" fillId="5" borderId="30" xfId="3" applyNumberFormat="1" applyFont="1" applyFill="1" applyBorder="1"/>
    <xf numFmtId="41" fontId="9" fillId="5" borderId="30" xfId="0" applyNumberFormat="1" applyFont="1" applyFill="1" applyBorder="1"/>
    <xf numFmtId="166" fontId="10" fillId="5" borderId="31" xfId="0" applyNumberFormat="1" applyFont="1" applyFill="1" applyBorder="1"/>
    <xf numFmtId="0" fontId="11" fillId="0" borderId="26" xfId="0" applyFont="1" applyBorder="1"/>
    <xf numFmtId="166" fontId="11" fillId="0" borderId="27" xfId="0" applyNumberFormat="1" applyFont="1" applyBorder="1"/>
    <xf numFmtId="43" fontId="11" fillId="0" borderId="27" xfId="0" applyNumberFormat="1" applyFont="1" applyBorder="1"/>
    <xf numFmtId="164" fontId="11" fillId="0" borderId="27" xfId="0" applyNumberFormat="1" applyFont="1" applyBorder="1" applyAlignment="1">
      <alignment horizontal="right"/>
    </xf>
    <xf numFmtId="41" fontId="11" fillId="0" borderId="27" xfId="0" applyNumberFormat="1" applyFont="1" applyBorder="1"/>
    <xf numFmtId="10" fontId="11" fillId="0" borderId="27" xfId="0" applyNumberFormat="1" applyFont="1" applyBorder="1"/>
    <xf numFmtId="166" fontId="11" fillId="0" borderId="28" xfId="0" applyNumberFormat="1" applyFont="1" applyBorder="1"/>
    <xf numFmtId="168" fontId="7" fillId="0" borderId="0" xfId="0" applyNumberFormat="1" applyFont="1"/>
    <xf numFmtId="0" fontId="0" fillId="0" borderId="0" xfId="0" applyAlignment="1">
      <alignment horizontal="right"/>
    </xf>
    <xf numFmtId="41" fontId="29" fillId="7" borderId="33" xfId="2" applyFont="1" applyFill="1" applyBorder="1" applyAlignment="1">
      <alignment horizontal="center"/>
    </xf>
    <xf numFmtId="41" fontId="29" fillId="7" borderId="34" xfId="2" applyFont="1" applyFill="1" applyBorder="1" applyAlignment="1">
      <alignment horizontal="center"/>
    </xf>
    <xf numFmtId="41" fontId="29" fillId="7" borderId="35" xfId="2" applyFont="1" applyFill="1" applyBorder="1" applyAlignment="1">
      <alignment horizontal="center"/>
    </xf>
    <xf numFmtId="0" fontId="29" fillId="7" borderId="35" xfId="0" applyFont="1" applyFill="1" applyBorder="1" applyAlignment="1">
      <alignment horizontal="center"/>
    </xf>
    <xf numFmtId="0" fontId="29" fillId="7" borderId="36" xfId="0" applyFont="1" applyFill="1" applyBorder="1" applyAlignment="1">
      <alignment horizontal="center"/>
    </xf>
    <xf numFmtId="41" fontId="29" fillId="0" borderId="33" xfId="2" applyFont="1" applyBorder="1" applyAlignment="1">
      <alignment horizontal="center"/>
    </xf>
    <xf numFmtId="41" fontId="29" fillId="0" borderId="34" xfId="2" applyFont="1" applyBorder="1" applyAlignment="1">
      <alignment horizontal="center"/>
    </xf>
    <xf numFmtId="41" fontId="29" fillId="0" borderId="35" xfId="2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42" fontId="29" fillId="7" borderId="37" xfId="7" applyFont="1" applyFill="1" applyBorder="1" applyAlignment="1">
      <alignment horizontal="center"/>
    </xf>
    <xf numFmtId="42" fontId="29" fillId="7" borderId="38" xfId="7" applyFont="1" applyFill="1" applyBorder="1" applyAlignment="1">
      <alignment horizontal="center"/>
    </xf>
    <xf numFmtId="42" fontId="29" fillId="7" borderId="39" xfId="7" applyFont="1" applyFill="1" applyBorder="1" applyAlignment="1">
      <alignment horizontal="center"/>
    </xf>
    <xf numFmtId="0" fontId="29" fillId="7" borderId="39" xfId="0" applyFont="1" applyFill="1" applyBorder="1" applyAlignment="1">
      <alignment horizontal="center"/>
    </xf>
    <xf numFmtId="0" fontId="29" fillId="7" borderId="40" xfId="0" applyFont="1" applyFill="1" applyBorder="1" applyAlignment="1">
      <alignment horizontal="center"/>
    </xf>
    <xf numFmtId="0" fontId="28" fillId="8" borderId="16" xfId="10" applyFont="1" applyFill="1" applyBorder="1" applyAlignment="1">
      <alignment horizontal="center" wrapText="1"/>
    </xf>
    <xf numFmtId="0" fontId="28" fillId="8" borderId="41" xfId="10" applyFont="1" applyFill="1" applyBorder="1" applyAlignment="1">
      <alignment horizontal="center" wrapText="1"/>
    </xf>
    <xf numFmtId="0" fontId="28" fillId="8" borderId="16" xfId="1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43" fontId="0" fillId="0" borderId="0" xfId="1" applyFont="1"/>
    <xf numFmtId="169" fontId="0" fillId="0" borderId="43" xfId="1" applyNumberFormat="1" applyFont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43" fontId="0" fillId="0" borderId="24" xfId="1" applyFont="1" applyBorder="1"/>
    <xf numFmtId="43" fontId="0" fillId="0" borderId="25" xfId="0" applyNumberFormat="1" applyBorder="1"/>
    <xf numFmtId="43" fontId="0" fillId="0" borderId="0" xfId="0" applyNumberFormat="1"/>
    <xf numFmtId="169" fontId="2" fillId="2" borderId="1" xfId="4" applyNumberFormat="1"/>
    <xf numFmtId="0" fontId="4" fillId="0" borderId="0" xfId="0" applyFont="1"/>
    <xf numFmtId="43" fontId="0" fillId="0" borderId="0" xfId="1" applyFont="1" applyBorder="1"/>
    <xf numFmtId="43" fontId="2" fillId="2" borderId="1" xfId="4" applyNumberForma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24" fillId="9" borderId="0" xfId="0" applyFont="1" applyFill="1"/>
    <xf numFmtId="0" fontId="0" fillId="9" borderId="0" xfId="0" applyFill="1"/>
    <xf numFmtId="0" fontId="7" fillId="9" borderId="0" xfId="0" applyFont="1" applyFill="1"/>
    <xf numFmtId="0" fontId="15" fillId="9" borderId="0" xfId="0" applyFont="1" applyFill="1"/>
    <xf numFmtId="0" fontId="15" fillId="9" borderId="0" xfId="0" quotePrefix="1" applyFont="1" applyFill="1"/>
    <xf numFmtId="0" fontId="0" fillId="3" borderId="0" xfId="0" applyFill="1"/>
    <xf numFmtId="0" fontId="18" fillId="3" borderId="7" xfId="0" applyFont="1" applyFill="1" applyBorder="1"/>
    <xf numFmtId="0" fontId="15" fillId="3" borderId="8" xfId="0" applyFont="1" applyFill="1" applyBorder="1"/>
    <xf numFmtId="0" fontId="16" fillId="3" borderId="10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right"/>
    </xf>
    <xf numFmtId="0" fontId="16" fillId="3" borderId="10" xfId="0" applyFont="1" applyFill="1" applyBorder="1"/>
    <xf numFmtId="0" fontId="15" fillId="3" borderId="10" xfId="0" applyFont="1" applyFill="1" applyBorder="1"/>
    <xf numFmtId="39" fontId="17" fillId="3" borderId="14" xfId="4" applyNumberFormat="1" applyFont="1" applyFill="1" applyBorder="1" applyAlignment="1" applyProtection="1">
      <alignment horizontal="right"/>
      <protection locked="0"/>
    </xf>
    <xf numFmtId="164" fontId="17" fillId="3" borderId="14" xfId="4" applyNumberFormat="1" applyFont="1" applyFill="1" applyBorder="1" applyAlignment="1" applyProtection="1">
      <alignment horizontal="right"/>
      <protection locked="0"/>
    </xf>
    <xf numFmtId="0" fontId="15" fillId="3" borderId="10" xfId="0" applyFont="1" applyFill="1" applyBorder="1" applyAlignment="1">
      <alignment horizontal="right"/>
    </xf>
    <xf numFmtId="4" fontId="15" fillId="3" borderId="9" xfId="0" applyNumberFormat="1" applyFont="1" applyFill="1" applyBorder="1" applyAlignment="1">
      <alignment horizontal="right"/>
    </xf>
    <xf numFmtId="4" fontId="15" fillId="3" borderId="9" xfId="1" applyNumberFormat="1" applyFont="1" applyFill="1" applyBorder="1" applyAlignment="1" applyProtection="1">
      <alignment horizontal="right"/>
    </xf>
    <xf numFmtId="10" fontId="15" fillId="3" borderId="9" xfId="0" applyNumberFormat="1" applyFont="1" applyFill="1" applyBorder="1" applyAlignment="1">
      <alignment horizontal="right"/>
    </xf>
    <xf numFmtId="39" fontId="15" fillId="3" borderId="9" xfId="1" applyNumberFormat="1" applyFont="1" applyFill="1" applyBorder="1" applyAlignment="1" applyProtection="1">
      <alignment horizontal="right"/>
    </xf>
    <xf numFmtId="10" fontId="15" fillId="3" borderId="9" xfId="3" applyNumberFormat="1" applyFont="1" applyFill="1" applyBorder="1" applyAlignment="1" applyProtection="1">
      <alignment horizontal="right"/>
    </xf>
    <xf numFmtId="4" fontId="15" fillId="3" borderId="9" xfId="0" quotePrefix="1" applyNumberFormat="1" applyFont="1" applyFill="1" applyBorder="1" applyAlignment="1">
      <alignment horizontal="right"/>
    </xf>
    <xf numFmtId="0" fontId="15" fillId="3" borderId="12" xfId="0" applyFont="1" applyFill="1" applyBorder="1"/>
    <xf numFmtId="0" fontId="15" fillId="3" borderId="13" xfId="0" applyFont="1" applyFill="1" applyBorder="1"/>
    <xf numFmtId="0" fontId="0" fillId="9" borderId="0" xfId="0" applyFill="1" applyAlignment="1">
      <alignment horizontal="center"/>
    </xf>
    <xf numFmtId="0" fontId="25" fillId="6" borderId="46" xfId="0" applyFont="1" applyFill="1" applyBorder="1" applyAlignment="1" applyProtection="1">
      <alignment horizontal="center"/>
      <protection locked="0"/>
    </xf>
    <xf numFmtId="0" fontId="15" fillId="3" borderId="11" xfId="0" applyFont="1" applyFill="1" applyBorder="1"/>
    <xf numFmtId="0" fontId="15" fillId="3" borderId="0" xfId="0" applyFont="1" applyFill="1"/>
    <xf numFmtId="4" fontId="15" fillId="3" borderId="45" xfId="0" applyNumberFormat="1" applyFont="1" applyFill="1" applyBorder="1" applyAlignment="1">
      <alignment horizontal="right"/>
    </xf>
    <xf numFmtId="0" fontId="28" fillId="8" borderId="42" xfId="10" applyFont="1" applyFill="1" applyBorder="1" applyAlignment="1">
      <alignment horizontal="center" wrapText="1"/>
    </xf>
    <xf numFmtId="0" fontId="7" fillId="10" borderId="0" xfId="0" applyFont="1" applyFill="1"/>
    <xf numFmtId="0" fontId="34" fillId="3" borderId="0" xfId="0" applyFont="1" applyFill="1"/>
    <xf numFmtId="0" fontId="5" fillId="3" borderId="0" xfId="0" applyFont="1" applyFill="1"/>
    <xf numFmtId="0" fontId="5" fillId="10" borderId="0" xfId="0" applyFont="1" applyFill="1"/>
    <xf numFmtId="0" fontId="7" fillId="10" borderId="0" xfId="0" applyFont="1" applyFill="1" applyAlignment="1">
      <alignment horizontal="right"/>
    </xf>
    <xf numFmtId="0" fontId="36" fillId="9" borderId="0" xfId="0" applyFont="1" applyFill="1"/>
    <xf numFmtId="0" fontId="16" fillId="9" borderId="0" xfId="0" applyFont="1" applyFill="1"/>
    <xf numFmtId="0" fontId="16" fillId="3" borderId="0" xfId="0" applyFont="1" applyFill="1"/>
    <xf numFmtId="0" fontId="15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 applyAlignment="1">
      <alignment vertical="top" wrapText="1"/>
    </xf>
    <xf numFmtId="42" fontId="15" fillId="3" borderId="0" xfId="7" applyFont="1" applyFill="1" applyBorder="1" applyAlignment="1" applyProtection="1"/>
    <xf numFmtId="0" fontId="15" fillId="3" borderId="0" xfId="0" applyFont="1" applyFill="1" applyProtection="1">
      <protection locked="0"/>
    </xf>
    <xf numFmtId="0" fontId="15" fillId="3" borderId="0" xfId="0" applyFont="1" applyFill="1" applyAlignment="1">
      <alignment vertical="top"/>
    </xf>
    <xf numFmtId="0" fontId="15" fillId="3" borderId="25" xfId="0" applyFont="1" applyFill="1" applyBorder="1"/>
    <xf numFmtId="0" fontId="15" fillId="3" borderId="0" xfId="0" applyFont="1" applyFill="1" applyAlignment="1" applyProtection="1">
      <alignment horizontal="right"/>
      <protection locked="0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 applyProtection="1">
      <alignment horizontal="left"/>
      <protection locked="0"/>
    </xf>
    <xf numFmtId="0" fontId="16" fillId="3" borderId="0" xfId="0" applyFont="1" applyFill="1" applyAlignment="1">
      <alignment horizontal="right"/>
    </xf>
    <xf numFmtId="43" fontId="35" fillId="11" borderId="47" xfId="11" applyNumberFormat="1"/>
    <xf numFmtId="43" fontId="41" fillId="2" borderId="1" xfId="4" applyNumberFormat="1" applyFont="1"/>
    <xf numFmtId="43" fontId="42" fillId="11" borderId="47" xfId="11" applyNumberFormat="1" applyFont="1"/>
    <xf numFmtId="0" fontId="39" fillId="3" borderId="0" xfId="0" applyFont="1" applyFill="1" applyAlignment="1">
      <alignment horizontal="right"/>
    </xf>
    <xf numFmtId="9" fontId="42" fillId="11" borderId="47" xfId="3" applyFont="1" applyFill="1" applyBorder="1" applyAlignment="1">
      <alignment horizontal="right"/>
    </xf>
    <xf numFmtId="0" fontId="15" fillId="3" borderId="0" xfId="0" quotePrefix="1" applyFont="1" applyFill="1" applyAlignment="1">
      <alignment horizontal="left"/>
    </xf>
    <xf numFmtId="0" fontId="18" fillId="3" borderId="0" xfId="0" applyFont="1" applyFill="1"/>
    <xf numFmtId="167" fontId="43" fillId="11" borderId="47" xfId="11" applyNumberFormat="1" applyFont="1" applyAlignment="1" applyProtection="1"/>
    <xf numFmtId="0" fontId="18" fillId="3" borderId="0" xfId="0" applyFont="1" applyFill="1" applyAlignment="1">
      <alignment horizontal="right"/>
    </xf>
    <xf numFmtId="165" fontId="29" fillId="0" borderId="33" xfId="3" applyNumberFormat="1" applyFont="1" applyBorder="1" applyAlignment="1">
      <alignment horizontal="center"/>
    </xf>
    <xf numFmtId="165" fontId="29" fillId="7" borderId="33" xfId="3" applyNumberFormat="1" applyFont="1" applyFill="1" applyBorder="1" applyAlignment="1">
      <alignment horizontal="center"/>
    </xf>
    <xf numFmtId="165" fontId="29" fillId="7" borderId="37" xfId="3" quotePrefix="1" applyNumberFormat="1" applyFont="1" applyFill="1" applyBorder="1" applyAlignment="1">
      <alignment horizontal="center"/>
    </xf>
    <xf numFmtId="0" fontId="3" fillId="0" borderId="0" xfId="5" applyFill="1" applyAlignment="1">
      <alignment wrapText="1"/>
    </xf>
    <xf numFmtId="170" fontId="0" fillId="0" borderId="0" xfId="0" applyNumberFormat="1"/>
    <xf numFmtId="0" fontId="21" fillId="3" borderId="25" xfId="6" applyFill="1" applyBorder="1"/>
    <xf numFmtId="14" fontId="15" fillId="3" borderId="25" xfId="0" applyNumberFormat="1" applyFont="1" applyFill="1" applyBorder="1" applyAlignment="1">
      <alignment horizontal="left"/>
    </xf>
    <xf numFmtId="0" fontId="37" fillId="11" borderId="48" xfId="11" applyFont="1" applyBorder="1" applyAlignment="1">
      <alignment horizontal="center" vertical="center"/>
    </xf>
    <xf numFmtId="0" fontId="37" fillId="11" borderId="49" xfId="11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0" fillId="0" borderId="4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7" fillId="0" borderId="0" xfId="9" applyBorder="1" applyAlignment="1">
      <alignment horizontal="center"/>
    </xf>
    <xf numFmtId="0" fontId="31" fillId="0" borderId="13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31" fillId="0" borderId="12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3" fillId="0" borderId="0" xfId="8" applyFont="1" applyAlignment="1">
      <alignment horizontal="center"/>
    </xf>
    <xf numFmtId="14" fontId="32" fillId="0" borderId="0" xfId="8" quotePrefix="1" applyNumberFormat="1" applyFont="1" applyAlignment="1">
      <alignment horizontal="left"/>
    </xf>
  </cellXfs>
  <cellStyles count="12">
    <cellStyle name="Comma" xfId="1" builtinId="3"/>
    <cellStyle name="Comma [0]" xfId="2" builtinId="6"/>
    <cellStyle name="Currency [0]" xfId="7" builtinId="7"/>
    <cellStyle name="Explanatory Text" xfId="5" builtinId="53"/>
    <cellStyle name="Heading 3" xfId="9" builtinId="18"/>
    <cellStyle name="Heading 4" xfId="10" builtinId="19"/>
    <cellStyle name="Hyperlink" xfId="6" builtinId="8"/>
    <cellStyle name="Input" xfId="4" builtinId="20"/>
    <cellStyle name="Normal" xfId="0" builtinId="0"/>
    <cellStyle name="Output" xfId="11" builtinId="21"/>
    <cellStyle name="Percent" xfId="3" builtinId="5"/>
    <cellStyle name="Title" xfId="8" builtinId="1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nagonz@k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CE0B-C7E2-475C-A067-57059489FF1D}">
  <sheetPr>
    <pageSetUpPr fitToPage="1"/>
  </sheetPr>
  <dimension ref="A1:C12"/>
  <sheetViews>
    <sheetView showGridLines="0" workbookViewId="0">
      <selection activeCell="B5" sqref="B5"/>
    </sheetView>
  </sheetViews>
  <sheetFormatPr defaultRowHeight="15"/>
  <cols>
    <col min="1" max="1" width="3.5703125" customWidth="1"/>
    <col min="2" max="2" width="42.28515625" customWidth="1"/>
    <col min="3" max="3" width="64.5703125" customWidth="1"/>
  </cols>
  <sheetData>
    <row r="1" spans="1:3" ht="25.15" customHeight="1">
      <c r="A1" s="18" t="s">
        <v>0</v>
      </c>
      <c r="B1" s="1"/>
      <c r="C1" s="1"/>
    </row>
    <row r="2" spans="1:3" ht="25.15" customHeight="1">
      <c r="A2" s="18" t="s">
        <v>2</v>
      </c>
    </row>
    <row r="3" spans="1:3" ht="25.15" customHeight="1">
      <c r="A3" s="18" t="s">
        <v>1</v>
      </c>
    </row>
    <row r="4" spans="1:3" ht="15.75" thickBot="1"/>
    <row r="5" spans="1:3" ht="30" customHeight="1">
      <c r="B5" s="2" t="s">
        <v>225</v>
      </c>
      <c r="C5" s="3" t="s">
        <v>118</v>
      </c>
    </row>
    <row r="6" spans="1:3" ht="30" customHeight="1">
      <c r="B6" s="23" t="s">
        <v>234</v>
      </c>
      <c r="C6" s="4" t="s">
        <v>231</v>
      </c>
    </row>
    <row r="7" spans="1:3" ht="30" customHeight="1">
      <c r="B7" s="23" t="s">
        <v>240</v>
      </c>
      <c r="C7" s="4" t="s">
        <v>232</v>
      </c>
    </row>
    <row r="8" spans="1:3" ht="30" customHeight="1">
      <c r="B8" s="23" t="s">
        <v>4</v>
      </c>
      <c r="C8" s="4" t="s">
        <v>274</v>
      </c>
    </row>
    <row r="9" spans="1:3" ht="30" customHeight="1">
      <c r="B9" s="23" t="s">
        <v>272</v>
      </c>
      <c r="C9" s="4" t="s">
        <v>269</v>
      </c>
    </row>
    <row r="10" spans="1:3" ht="30" customHeight="1">
      <c r="B10" s="23" t="s">
        <v>3</v>
      </c>
      <c r="C10" s="4" t="s">
        <v>270</v>
      </c>
    </row>
    <row r="11" spans="1:3" ht="30" customHeight="1">
      <c r="B11" s="23" t="s">
        <v>124</v>
      </c>
      <c r="C11" s="4" t="s">
        <v>271</v>
      </c>
    </row>
    <row r="12" spans="1:3">
      <c r="B12" s="44" t="s">
        <v>123</v>
      </c>
      <c r="C12" s="44"/>
    </row>
  </sheetData>
  <hyperlinks>
    <hyperlink ref="B9" location="'Fall 2024 P2 FON Calculation'!B6" display="Fall 2024 P2 FON Calculation" xr:uid="{57179478-8A40-4868-8FD5-B7472FE4E093}"/>
    <hyperlink ref="B10" location="'FON Estimator'!C5" display="FON Estimator" xr:uid="{687A2F05-8D0C-442E-81B6-4C07948E7D8A}"/>
    <hyperlink ref="B8" location="Definitions!B5" display="Definitions" xr:uid="{56F3C17B-85D6-4DEF-9F1F-DA345C8EDB87}"/>
    <hyperlink ref="B6" location="'Fall 2024 FON Compliance Form'!C6" display="Fall 2023 FON Compliance Form" xr:uid="{9EB9AE9F-1E34-404E-A550-F060383F569F}"/>
    <hyperlink ref="B11" location="ReplacementCost!B35" display="Replacement Cost " xr:uid="{A77C5B41-BABD-44CD-9E7B-54C6D35332F6}"/>
    <hyperlink ref="B7" location="'Fall 2024 Compliance FON'!B4" display="Fall 2024 Compliance FON" xr:uid="{4D8550DC-F9ED-4AF3-967A-80F0D7FE4B06}"/>
  </hyperlinks>
  <pageMargins left="0.7" right="0.7" top="0.75" bottom="0.75" header="0.3" footer="0.3"/>
  <pageSetup scale="82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AE6-3704-46CD-9C90-782BEA2A26D5}">
  <sheetPr>
    <pageSetUpPr fitToPage="1"/>
  </sheetPr>
  <dimension ref="A2:I53"/>
  <sheetViews>
    <sheetView tabSelected="1" zoomScale="80" zoomScaleNormal="80" workbookViewId="0">
      <selection activeCell="C46" sqref="C46"/>
    </sheetView>
  </sheetViews>
  <sheetFormatPr defaultColWidth="9.140625" defaultRowHeight="15"/>
  <cols>
    <col min="1" max="1" width="5.85546875" style="139" customWidth="1"/>
    <col min="2" max="2" width="20.85546875" style="139" customWidth="1"/>
    <col min="3" max="3" width="103" style="139" customWidth="1"/>
    <col min="4" max="4" width="13.42578125" style="139" customWidth="1"/>
    <col min="5" max="5" width="16.42578125" style="139" customWidth="1"/>
    <col min="6" max="6" width="3.85546875" style="139" customWidth="1"/>
    <col min="7" max="7" width="56.42578125" style="139" customWidth="1"/>
    <col min="8" max="8" width="33" style="139" customWidth="1"/>
    <col min="9" max="9" width="5.5703125" style="139" customWidth="1"/>
    <col min="10" max="16384" width="9.140625" style="139"/>
  </cols>
  <sheetData>
    <row r="2" spans="2:9" ht="21.75">
      <c r="B2" s="140" t="s">
        <v>0</v>
      </c>
      <c r="C2" s="141"/>
      <c r="D2" s="141"/>
      <c r="E2" s="141"/>
      <c r="F2" s="142"/>
      <c r="G2" s="142"/>
      <c r="H2" s="142"/>
    </row>
    <row r="3" spans="2:9" ht="21.75">
      <c r="B3" s="140" t="s">
        <v>135</v>
      </c>
      <c r="C3" s="141"/>
      <c r="D3" s="141"/>
      <c r="E3" s="141"/>
      <c r="F3" s="142"/>
      <c r="G3" s="142"/>
      <c r="H3" s="142"/>
    </row>
    <row r="4" spans="2:9" ht="21.75">
      <c r="B4" s="140" t="s">
        <v>233</v>
      </c>
      <c r="C4" s="141"/>
      <c r="D4" s="141"/>
      <c r="E4" s="141"/>
      <c r="F4" s="145" t="s">
        <v>134</v>
      </c>
      <c r="G4" s="112"/>
      <c r="H4" s="112"/>
      <c r="I4" s="112"/>
    </row>
    <row r="5" spans="2:9" ht="22.9" customHeight="1">
      <c r="B5" s="165" t="s">
        <v>20</v>
      </c>
      <c r="C5" s="136"/>
      <c r="D5" s="136"/>
      <c r="E5" s="136"/>
      <c r="F5" s="110"/>
      <c r="G5" s="113"/>
      <c r="H5" s="112"/>
      <c r="I5" s="112"/>
    </row>
    <row r="6" spans="2:9" ht="22.9" customHeight="1">
      <c r="B6" s="146"/>
      <c r="C6" s="175" t="s">
        <v>43</v>
      </c>
      <c r="D6" s="176"/>
      <c r="E6" s="136"/>
      <c r="F6" s="110" t="s">
        <v>132</v>
      </c>
      <c r="G6" s="113" t="s">
        <v>216</v>
      </c>
      <c r="H6" s="112"/>
      <c r="I6" s="112"/>
    </row>
    <row r="7" spans="2:9" ht="22.9" customHeight="1">
      <c r="B7" s="136"/>
      <c r="C7" s="136"/>
      <c r="D7" s="136"/>
      <c r="E7" s="136"/>
      <c r="F7" s="110"/>
      <c r="G7" s="113"/>
      <c r="H7" s="112"/>
      <c r="I7" s="112"/>
    </row>
    <row r="8" spans="2:9" ht="22.9" customHeight="1">
      <c r="B8" s="165" t="s">
        <v>197</v>
      </c>
      <c r="C8" s="136"/>
      <c r="D8" s="136"/>
      <c r="E8" s="136"/>
      <c r="F8" s="144"/>
      <c r="G8" s="144"/>
      <c r="H8" s="112"/>
      <c r="I8" s="112"/>
    </row>
    <row r="9" spans="2:9" ht="47.25">
      <c r="B9" s="136"/>
      <c r="C9" s="150" t="s">
        <v>198</v>
      </c>
      <c r="D9" s="136"/>
      <c r="E9" s="136"/>
      <c r="F9" s="112"/>
      <c r="G9" s="112"/>
      <c r="H9" s="112"/>
      <c r="I9" s="112"/>
    </row>
    <row r="10" spans="2:9" ht="4.9000000000000004" customHeight="1">
      <c r="B10" s="146"/>
      <c r="C10" s="136"/>
      <c r="D10" s="136"/>
      <c r="E10" s="136"/>
      <c r="F10" s="110"/>
      <c r="G10" s="112"/>
      <c r="H10" s="112"/>
      <c r="I10" s="112"/>
    </row>
    <row r="11" spans="2:9" ht="22.9" customHeight="1">
      <c r="B11" s="165" t="s">
        <v>199</v>
      </c>
      <c r="C11" s="136"/>
      <c r="D11" s="146" t="s">
        <v>200</v>
      </c>
      <c r="E11" s="136"/>
      <c r="F11" s="112"/>
      <c r="G11" s="112"/>
      <c r="H11" s="112"/>
      <c r="I11" s="112"/>
    </row>
    <row r="12" spans="2:9" ht="22.9" customHeight="1">
      <c r="B12" s="146"/>
      <c r="C12" s="153" t="s">
        <v>226</v>
      </c>
      <c r="D12" s="160">
        <v>444</v>
      </c>
      <c r="E12" s="136"/>
      <c r="F12" s="110" t="s">
        <v>132</v>
      </c>
      <c r="G12" s="113" t="s">
        <v>219</v>
      </c>
      <c r="H12" s="112"/>
      <c r="I12" s="112"/>
    </row>
    <row r="13" spans="2:9" ht="22.9" customHeight="1">
      <c r="B13" s="146"/>
      <c r="C13" s="147" t="s">
        <v>201</v>
      </c>
      <c r="D13" s="136"/>
      <c r="E13" s="136"/>
      <c r="F13" s="110"/>
      <c r="G13" s="113"/>
      <c r="H13" s="112"/>
      <c r="I13" s="112"/>
    </row>
    <row r="14" spans="2:9" ht="22.9" customHeight="1">
      <c r="B14" s="146"/>
      <c r="C14" s="153" t="s">
        <v>227</v>
      </c>
      <c r="D14" s="160">
        <v>0</v>
      </c>
      <c r="E14" s="136"/>
      <c r="F14" s="110" t="s">
        <v>132</v>
      </c>
      <c r="G14" s="113" t="s">
        <v>219</v>
      </c>
      <c r="H14" s="112"/>
      <c r="I14" s="112"/>
    </row>
    <row r="15" spans="2:9" ht="22.9" customHeight="1">
      <c r="B15" s="146"/>
      <c r="C15" s="153" t="s">
        <v>228</v>
      </c>
      <c r="D15" s="160">
        <v>0</v>
      </c>
      <c r="E15" s="136"/>
      <c r="F15" s="110" t="s">
        <v>132</v>
      </c>
      <c r="G15" s="113" t="s">
        <v>219</v>
      </c>
      <c r="H15" s="112"/>
      <c r="I15" s="112"/>
    </row>
    <row r="16" spans="2:9" ht="22.9" customHeight="1">
      <c r="B16" s="146"/>
      <c r="C16" s="153" t="s">
        <v>229</v>
      </c>
      <c r="D16" s="160">
        <v>51</v>
      </c>
      <c r="E16" s="154"/>
      <c r="F16" s="110" t="s">
        <v>132</v>
      </c>
      <c r="G16" s="113" t="s">
        <v>219</v>
      </c>
      <c r="H16" s="112"/>
      <c r="I16" s="112"/>
    </row>
    <row r="17" spans="1:9" ht="22.9" customHeight="1">
      <c r="B17" s="146"/>
      <c r="C17" s="167" t="s">
        <v>202</v>
      </c>
      <c r="D17" s="136"/>
      <c r="E17" s="161">
        <v>495</v>
      </c>
      <c r="F17" s="133" t="s">
        <v>130</v>
      </c>
      <c r="G17" s="113" t="s">
        <v>220</v>
      </c>
      <c r="H17" s="112"/>
      <c r="I17" s="112"/>
    </row>
    <row r="18" spans="1:9" ht="4.9000000000000004" customHeight="1">
      <c r="B18" s="146"/>
      <c r="C18" s="136"/>
      <c r="D18" s="136"/>
      <c r="E18" s="136"/>
      <c r="F18" s="110"/>
      <c r="G18" s="113"/>
      <c r="H18" s="112"/>
      <c r="I18" s="112"/>
    </row>
    <row r="19" spans="1:9" ht="22.9" customHeight="1">
      <c r="B19" s="165" t="s">
        <v>203</v>
      </c>
      <c r="C19" s="136"/>
      <c r="D19" s="136"/>
      <c r="E19" s="136"/>
      <c r="F19" s="110"/>
      <c r="G19" s="113"/>
      <c r="H19" s="112"/>
      <c r="I19" s="112"/>
    </row>
    <row r="20" spans="1:9" ht="22.9" customHeight="1">
      <c r="B20" s="146"/>
      <c r="C20" s="153" t="s">
        <v>204</v>
      </c>
      <c r="D20" s="160">
        <v>273.42</v>
      </c>
      <c r="E20" s="136"/>
      <c r="F20" s="110" t="s">
        <v>132</v>
      </c>
      <c r="G20" s="113" t="s">
        <v>219</v>
      </c>
      <c r="H20" s="112"/>
      <c r="I20" s="112"/>
    </row>
    <row r="21" spans="1:9" ht="31.5">
      <c r="B21" s="146"/>
      <c r="C21" s="150" t="s">
        <v>205</v>
      </c>
      <c r="D21" s="160">
        <v>0</v>
      </c>
      <c r="E21" s="136"/>
      <c r="F21" s="110" t="s">
        <v>132</v>
      </c>
      <c r="G21" s="113" t="s">
        <v>230</v>
      </c>
      <c r="H21" s="112"/>
      <c r="I21" s="112"/>
    </row>
    <row r="22" spans="1:9" ht="22.9" customHeight="1">
      <c r="B22" s="146"/>
      <c r="C22" s="167" t="s">
        <v>206</v>
      </c>
      <c r="D22" s="136"/>
      <c r="E22" s="161">
        <f>SUM(D20:D21)</f>
        <v>273.42</v>
      </c>
      <c r="F22" s="110" t="s">
        <v>132</v>
      </c>
      <c r="G22" s="113"/>
      <c r="H22" s="112"/>
      <c r="I22" s="112"/>
    </row>
    <row r="23" spans="1:9" ht="4.9000000000000004" customHeight="1">
      <c r="B23" s="146"/>
      <c r="C23" s="158"/>
      <c r="D23" s="136"/>
      <c r="E23" s="136"/>
      <c r="F23" s="110"/>
      <c r="G23" s="113"/>
      <c r="H23" s="112"/>
      <c r="I23" s="112"/>
    </row>
    <row r="24" spans="1:9" ht="22.9" customHeight="1">
      <c r="B24" s="165" t="s">
        <v>207</v>
      </c>
      <c r="C24" s="136"/>
      <c r="D24" s="136"/>
      <c r="E24" s="161">
        <f>E17+E22</f>
        <v>768.42000000000007</v>
      </c>
      <c r="F24" s="133" t="s">
        <v>130</v>
      </c>
      <c r="G24" s="113" t="s">
        <v>221</v>
      </c>
      <c r="H24" s="112"/>
      <c r="I24" s="112"/>
    </row>
    <row r="25" spans="1:9" ht="4.9000000000000004" customHeight="1">
      <c r="B25" s="146"/>
      <c r="C25" s="136"/>
      <c r="D25" s="136"/>
      <c r="E25" s="136"/>
      <c r="F25" s="110"/>
      <c r="G25" s="113"/>
      <c r="H25" s="112"/>
      <c r="I25" s="112"/>
    </row>
    <row r="26" spans="1:9" ht="22.9" customHeight="1">
      <c r="B26" s="165" t="s">
        <v>208</v>
      </c>
      <c r="C26" s="136"/>
      <c r="D26" s="136"/>
      <c r="E26" s="163">
        <f>IFERROR($E$17/$E$24,"0%")</f>
        <v>0.6441789646287186</v>
      </c>
      <c r="F26" s="133" t="s">
        <v>130</v>
      </c>
      <c r="G26" s="113" t="s">
        <v>222</v>
      </c>
      <c r="H26" s="112"/>
      <c r="I26" s="112"/>
    </row>
    <row r="27" spans="1:9" ht="22.9" customHeight="1">
      <c r="B27" s="136"/>
      <c r="C27" s="136"/>
      <c r="D27" s="136"/>
      <c r="E27" s="136"/>
      <c r="F27" s="110"/>
      <c r="G27" s="113"/>
      <c r="H27" s="112"/>
      <c r="I27" s="112"/>
    </row>
    <row r="28" spans="1:9" ht="4.9000000000000004" customHeight="1">
      <c r="B28" s="136"/>
      <c r="C28" s="136"/>
      <c r="D28" s="136"/>
      <c r="E28" s="136"/>
      <c r="F28" s="110"/>
      <c r="G28" s="113"/>
      <c r="H28" s="112"/>
      <c r="I28" s="112"/>
    </row>
    <row r="29" spans="1:9" ht="22.9" customHeight="1">
      <c r="A29" s="143"/>
      <c r="B29" s="165" t="s">
        <v>235</v>
      </c>
      <c r="C29" s="136"/>
      <c r="D29" s="136"/>
      <c r="E29" s="136"/>
      <c r="F29" s="110"/>
      <c r="G29" s="113"/>
      <c r="H29" s="112"/>
      <c r="I29" s="112"/>
    </row>
    <row r="30" spans="1:9" ht="22.9" customHeight="1">
      <c r="A30" s="143"/>
      <c r="B30" s="146"/>
      <c r="C30" s="149" t="s">
        <v>236</v>
      </c>
      <c r="D30" s="136"/>
      <c r="E30" s="136"/>
      <c r="F30" s="110"/>
      <c r="G30" s="113"/>
      <c r="H30" s="112"/>
      <c r="I30" s="112"/>
    </row>
    <row r="31" spans="1:9" ht="22.9" customHeight="1">
      <c r="A31" s="143"/>
      <c r="B31" s="136"/>
      <c r="C31" s="156" t="s">
        <v>209</v>
      </c>
      <c r="D31" s="136"/>
      <c r="E31" s="159">
        <f>IFERROR(ROUND(VLOOKUP($C$6,'Fall 2024 Compliance FON'!$B$4:$G$77,6,FALSE),1),"")</f>
        <v>437.8</v>
      </c>
      <c r="F31" s="133" t="s">
        <v>130</v>
      </c>
      <c r="G31" s="113" t="s">
        <v>239</v>
      </c>
      <c r="H31" s="112"/>
      <c r="I31" s="112"/>
    </row>
    <row r="32" spans="1:9" ht="22.9" customHeight="1">
      <c r="A32" s="143"/>
      <c r="B32" s="136"/>
      <c r="C32" s="156" t="s">
        <v>217</v>
      </c>
      <c r="D32" s="136"/>
      <c r="E32" s="159">
        <f>IFERROR(ROUND($E$17-$E$31,1),"")</f>
        <v>57.2</v>
      </c>
      <c r="F32" s="133" t="s">
        <v>130</v>
      </c>
      <c r="G32" s="113" t="s">
        <v>223</v>
      </c>
      <c r="H32" s="112"/>
      <c r="I32" s="112"/>
    </row>
    <row r="33" spans="2:9" ht="22.9" customHeight="1">
      <c r="B33" s="148"/>
      <c r="C33" s="164" t="s">
        <v>237</v>
      </c>
      <c r="D33" s="136"/>
      <c r="E33" s="162" t="str">
        <f>(IF($E$32&gt;=0,"In Compliance","Noncompliant"))</f>
        <v>In Compliance</v>
      </c>
      <c r="F33" s="133" t="s">
        <v>130</v>
      </c>
      <c r="G33" s="113" t="s">
        <v>223</v>
      </c>
      <c r="H33" s="112"/>
      <c r="I33" s="112"/>
    </row>
    <row r="34" spans="2:9" ht="22.9" customHeight="1">
      <c r="B34" s="136"/>
      <c r="C34" s="136"/>
      <c r="D34" s="136"/>
      <c r="E34" s="136"/>
      <c r="F34" s="110"/>
      <c r="G34" s="113"/>
      <c r="H34" s="112"/>
      <c r="I34" s="112"/>
    </row>
    <row r="35" spans="2:9" ht="22.9" customHeight="1">
      <c r="B35" s="165" t="s">
        <v>131</v>
      </c>
      <c r="C35" s="136"/>
      <c r="D35" s="136"/>
      <c r="E35" s="136"/>
      <c r="F35" s="110"/>
      <c r="G35" s="113"/>
      <c r="H35" s="112"/>
      <c r="I35" s="112"/>
    </row>
    <row r="36" spans="2:9" ht="22.9" customHeight="1">
      <c r="B36" s="136"/>
      <c r="C36" s="150" t="s">
        <v>210</v>
      </c>
      <c r="D36" s="150"/>
      <c r="E36" s="150"/>
      <c r="F36" s="110"/>
      <c r="G36" s="113"/>
      <c r="H36" s="112"/>
      <c r="I36" s="112"/>
    </row>
    <row r="37" spans="2:9" ht="22.9" customHeight="1">
      <c r="B37" s="148"/>
      <c r="C37" s="136" t="s">
        <v>211</v>
      </c>
      <c r="D37" s="136"/>
      <c r="E37" s="151">
        <v>97855</v>
      </c>
      <c r="F37" s="110"/>
      <c r="G37" s="113"/>
      <c r="H37" s="112"/>
      <c r="I37" s="112"/>
    </row>
    <row r="38" spans="2:9" ht="22.9" customHeight="1">
      <c r="B38" s="148"/>
      <c r="C38" s="136" t="s">
        <v>212</v>
      </c>
      <c r="D38" s="136"/>
      <c r="E38" s="166">
        <f>-(IF($E$33= "Noncompliant",(ROUND(E32*E37,0)),0))</f>
        <v>0</v>
      </c>
      <c r="F38" s="133" t="s">
        <v>130</v>
      </c>
      <c r="G38" s="113" t="s">
        <v>223</v>
      </c>
      <c r="H38" s="112"/>
      <c r="I38" s="112"/>
    </row>
    <row r="39" spans="2:9" ht="22.9" customHeight="1">
      <c r="B39" s="136"/>
      <c r="C39" s="136"/>
      <c r="D39" s="136"/>
      <c r="E39" s="136"/>
      <c r="F39" s="110"/>
      <c r="G39" s="113"/>
      <c r="H39" s="112"/>
      <c r="I39" s="112"/>
    </row>
    <row r="40" spans="2:9" ht="4.9000000000000004" customHeight="1">
      <c r="B40" s="136"/>
      <c r="C40" s="136"/>
      <c r="D40" s="136"/>
      <c r="E40" s="136"/>
      <c r="F40" s="110"/>
      <c r="G40" s="113"/>
      <c r="H40" s="112"/>
      <c r="I40" s="112"/>
    </row>
    <row r="41" spans="2:9" ht="22.9" customHeight="1">
      <c r="B41" s="146" t="s">
        <v>238</v>
      </c>
      <c r="C41" s="136"/>
      <c r="D41" s="136"/>
      <c r="E41" s="136"/>
      <c r="F41" s="110"/>
      <c r="G41" s="113"/>
      <c r="H41" s="112"/>
      <c r="I41" s="112"/>
    </row>
    <row r="42" spans="2:9" ht="4.9000000000000004" customHeight="1">
      <c r="B42" s="136"/>
      <c r="C42" s="136"/>
      <c r="D42" s="152"/>
      <c r="E42" s="152"/>
      <c r="F42" s="110"/>
      <c r="G42" s="113"/>
      <c r="H42" s="112"/>
      <c r="I42" s="112"/>
    </row>
    <row r="43" spans="2:9" ht="22.9" customHeight="1">
      <c r="B43" s="146" t="s">
        <v>218</v>
      </c>
      <c r="C43" s="136"/>
      <c r="D43" s="152"/>
      <c r="E43" s="152"/>
      <c r="F43" s="110"/>
      <c r="G43" s="113"/>
      <c r="H43" s="112"/>
      <c r="I43" s="112"/>
    </row>
    <row r="44" spans="2:9" ht="22.9" customHeight="1">
      <c r="B44" s="153" t="s">
        <v>126</v>
      </c>
      <c r="C44" s="136"/>
      <c r="D44" s="152"/>
      <c r="E44" s="152"/>
      <c r="F44" s="110"/>
      <c r="G44" s="113"/>
      <c r="H44" s="112"/>
      <c r="I44" s="112"/>
    </row>
    <row r="45" spans="2:9" ht="22.9" customHeight="1">
      <c r="B45" s="156" t="s">
        <v>213</v>
      </c>
      <c r="C45" s="154" t="s">
        <v>278</v>
      </c>
      <c r="D45" s="152"/>
      <c r="E45" s="152"/>
      <c r="F45" s="110"/>
      <c r="G45" s="113"/>
      <c r="H45" s="112"/>
      <c r="I45" s="112"/>
    </row>
    <row r="46" spans="2:9" ht="22.9" customHeight="1">
      <c r="B46" s="157" t="s">
        <v>125</v>
      </c>
      <c r="C46" s="174">
        <v>45596</v>
      </c>
      <c r="D46" s="152"/>
      <c r="E46" s="152"/>
      <c r="F46" s="110"/>
      <c r="G46" s="113"/>
      <c r="H46" s="112"/>
      <c r="I46" s="112"/>
    </row>
    <row r="47" spans="2:9" ht="22.9" customHeight="1">
      <c r="B47" s="157" t="s">
        <v>214</v>
      </c>
      <c r="C47" s="154"/>
      <c r="D47" s="152"/>
      <c r="E47" s="152"/>
      <c r="F47" s="110"/>
      <c r="G47" s="113"/>
      <c r="H47" s="112"/>
      <c r="I47" s="112"/>
    </row>
    <row r="48" spans="2:9" ht="22.9" customHeight="1">
      <c r="B48" s="155"/>
      <c r="C48" s="136"/>
      <c r="D48" s="152"/>
      <c r="E48" s="152"/>
      <c r="F48" s="110"/>
      <c r="G48" s="113"/>
      <c r="H48" s="112"/>
      <c r="I48" s="112"/>
    </row>
    <row r="49" spans="2:9" ht="22.9" customHeight="1">
      <c r="B49" s="146" t="s">
        <v>215</v>
      </c>
      <c r="C49" s="136"/>
      <c r="D49" s="136"/>
      <c r="E49" s="136"/>
      <c r="F49" s="110"/>
      <c r="G49" s="113"/>
      <c r="H49" s="112"/>
      <c r="I49" s="112"/>
    </row>
    <row r="50" spans="2:9" ht="22.9" customHeight="1">
      <c r="B50" s="156" t="s">
        <v>129</v>
      </c>
      <c r="C50" s="154" t="s">
        <v>275</v>
      </c>
      <c r="D50" s="136"/>
      <c r="E50" s="136"/>
      <c r="F50" s="110"/>
      <c r="G50" s="113"/>
      <c r="H50" s="112"/>
      <c r="I50" s="112"/>
    </row>
    <row r="51" spans="2:9" ht="22.9" customHeight="1">
      <c r="B51" s="156" t="s">
        <v>128</v>
      </c>
      <c r="C51" s="173" t="s">
        <v>276</v>
      </c>
      <c r="D51" s="136"/>
      <c r="E51" s="136"/>
      <c r="F51" s="110"/>
      <c r="G51" s="113"/>
      <c r="H51" s="112"/>
      <c r="I51" s="112"/>
    </row>
    <row r="52" spans="2:9" ht="22.9" customHeight="1">
      <c r="B52" s="157" t="s">
        <v>127</v>
      </c>
      <c r="C52" s="154" t="s">
        <v>277</v>
      </c>
      <c r="D52" s="136"/>
      <c r="E52" s="136"/>
      <c r="F52" s="110"/>
      <c r="G52" s="113"/>
      <c r="H52" s="112"/>
      <c r="I52" s="112"/>
    </row>
    <row r="53" spans="2:9" ht="15.75">
      <c r="F53" s="110"/>
      <c r="G53" s="113"/>
      <c r="H53" s="112"/>
      <c r="I53" s="112"/>
    </row>
  </sheetData>
  <mergeCells count="1">
    <mergeCell ref="C6:D6"/>
  </mergeCells>
  <conditionalFormatting sqref="E32">
    <cfRule type="cellIs" dxfId="1" priority="3" operator="lessThan">
      <formula>0</formula>
    </cfRule>
  </conditionalFormatting>
  <conditionalFormatting sqref="E33">
    <cfRule type="containsText" dxfId="0" priority="1" operator="containsText" text="Noncompliant">
      <formula>NOT(ISERROR(SEARCH("Noncompliant",E33)))</formula>
    </cfRule>
  </conditionalFormatting>
  <dataValidations count="1">
    <dataValidation type="decimal" allowBlank="1" showInputMessage="1" showErrorMessage="1" promptTitle="Negative" prompt="Must enter negative amount." sqref="D21" xr:uid="{EABB4998-1555-4EAF-A58F-70FC45E7499F}">
      <formula1>-999999999</formula1>
      <formula2>0</formula2>
    </dataValidation>
  </dataValidations>
  <hyperlinks>
    <hyperlink ref="C51" r:id="rId1" xr:uid="{7259A6C4-E41B-4D14-BA1F-22382B0DD99C}"/>
  </hyperlinks>
  <pageMargins left="0.7" right="0.7" top="0.75" bottom="0.75" header="0.3" footer="0.3"/>
  <pageSetup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 " prompt="Choose your district." xr:uid="{C03DC73D-F640-4307-A43C-3C23255B530B}">
          <x14:formula1>
            <xm:f>'Fall 2024 Compliance FON'!$B$5:$B$76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5F11-6E95-4EB8-8EDA-CE4FE11A2D6C}">
  <dimension ref="B1:J80"/>
  <sheetViews>
    <sheetView showGridLines="0" zoomScale="120" zoomScaleNormal="120" zoomScaleSheetLayoutView="110" workbookViewId="0">
      <pane ySplit="4" topLeftCell="A5" activePane="bottomLeft" state="frozen"/>
      <selection pane="bottomLeft" activeCell="B4" sqref="B4"/>
    </sheetView>
  </sheetViews>
  <sheetFormatPr defaultRowHeight="15"/>
  <cols>
    <col min="1" max="1" width="3.5703125" customWidth="1"/>
    <col min="2" max="2" width="20.7109375" customWidth="1"/>
    <col min="3" max="3" width="18.28515625" customWidth="1"/>
    <col min="4" max="4" width="18.140625" customWidth="1"/>
    <col min="5" max="6" width="18.42578125" customWidth="1"/>
    <col min="7" max="7" width="18.85546875" customWidth="1"/>
  </cols>
  <sheetData>
    <row r="1" spans="2:9" ht="25.15" customHeight="1">
      <c r="B1" s="18" t="s">
        <v>0</v>
      </c>
      <c r="C1" s="1"/>
    </row>
    <row r="2" spans="2:9" ht="26.25" customHeight="1">
      <c r="B2" s="18" t="s">
        <v>240</v>
      </c>
    </row>
    <row r="3" spans="2:9" ht="4.9000000000000004" customHeight="1" thickBot="1">
      <c r="B3" s="10"/>
      <c r="C3" s="6"/>
      <c r="D3" s="6"/>
      <c r="E3" s="6"/>
      <c r="F3" s="6"/>
      <c r="G3" s="6"/>
    </row>
    <row r="4" spans="2:9" ht="30" customHeight="1" thickBot="1">
      <c r="B4" s="29" t="s">
        <v>20</v>
      </c>
      <c r="C4" s="30" t="s">
        <v>136</v>
      </c>
      <c r="D4" s="30" t="s">
        <v>241</v>
      </c>
      <c r="E4" s="30" t="s">
        <v>242</v>
      </c>
      <c r="F4" s="30" t="s">
        <v>243</v>
      </c>
      <c r="G4" s="31" t="s">
        <v>244</v>
      </c>
    </row>
    <row r="5" spans="2:9" ht="15.75" thickTop="1">
      <c r="B5" s="32" t="s">
        <v>21</v>
      </c>
      <c r="C5" s="33">
        <v>129.6241</v>
      </c>
      <c r="D5" s="33">
        <v>162.22999999999999</v>
      </c>
      <c r="E5" s="33">
        <v>122.6241</v>
      </c>
      <c r="F5" s="33">
        <f>'Fall 2024 P2 FON Calculation'!K7</f>
        <v>131.6241</v>
      </c>
      <c r="G5" s="34">
        <f>(IF(E5&gt;F5,F5,E5))</f>
        <v>122.6241</v>
      </c>
      <c r="H5" s="20"/>
      <c r="I5" s="20"/>
    </row>
    <row r="6" spans="2:9">
      <c r="B6" s="35" t="s">
        <v>22</v>
      </c>
      <c r="C6" s="36">
        <v>152.36279999999999</v>
      </c>
      <c r="D6" s="36">
        <v>184</v>
      </c>
      <c r="E6" s="36">
        <v>139.36279999999999</v>
      </c>
      <c r="F6" s="36">
        <f>'Fall 2024 P2 FON Calculation'!K8</f>
        <v>151.36279999999999</v>
      </c>
      <c r="G6" s="37">
        <f t="shared" ref="G6:G69" si="0">(IF(E6&gt;F6,F6,E6))</f>
        <v>139.36279999999999</v>
      </c>
      <c r="I6" s="20"/>
    </row>
    <row r="7" spans="2:9">
      <c r="B7" s="38" t="s">
        <v>23</v>
      </c>
      <c r="C7" s="39">
        <v>26.333500000000001</v>
      </c>
      <c r="D7" s="39">
        <v>38.18</v>
      </c>
      <c r="E7" s="39">
        <v>25.333500000000001</v>
      </c>
      <c r="F7" s="39">
        <f>'Fall 2024 P2 FON Calculation'!K9</f>
        <v>28.333500000000001</v>
      </c>
      <c r="G7" s="40">
        <f t="shared" si="0"/>
        <v>25.333500000000001</v>
      </c>
      <c r="I7" s="20"/>
    </row>
    <row r="8" spans="2:9">
      <c r="B8" s="35" t="s">
        <v>24</v>
      </c>
      <c r="C8" s="36">
        <v>150.45410000000001</v>
      </c>
      <c r="D8" s="36">
        <v>177.79</v>
      </c>
      <c r="E8" s="36">
        <v>146.45410000000001</v>
      </c>
      <c r="F8" s="36">
        <f>'Fall 2024 P2 FON Calculation'!K10</f>
        <v>154.45410000000001</v>
      </c>
      <c r="G8" s="37">
        <f t="shared" si="0"/>
        <v>146.45410000000001</v>
      </c>
      <c r="I8" s="20"/>
    </row>
    <row r="9" spans="2:9">
      <c r="B9" s="38" t="s">
        <v>25</v>
      </c>
      <c r="C9" s="39">
        <v>165.76750000000001</v>
      </c>
      <c r="D9" s="39">
        <v>186.33999999999997</v>
      </c>
      <c r="E9" s="39">
        <v>161.76750000000001</v>
      </c>
      <c r="F9" s="39">
        <f>'Fall 2024 P2 FON Calculation'!K11</f>
        <v>168.76750000000001</v>
      </c>
      <c r="G9" s="40">
        <f t="shared" si="0"/>
        <v>161.76750000000001</v>
      </c>
      <c r="I9" s="20"/>
    </row>
    <row r="10" spans="2:9">
      <c r="B10" s="35" t="s">
        <v>26</v>
      </c>
      <c r="C10" s="36">
        <v>279.9939</v>
      </c>
      <c r="D10" s="36">
        <v>278</v>
      </c>
      <c r="E10" s="36">
        <v>261.9939</v>
      </c>
      <c r="F10" s="36">
        <f>'Fall 2024 P2 FON Calculation'!K12</f>
        <v>283.9939</v>
      </c>
      <c r="G10" s="37">
        <f t="shared" si="0"/>
        <v>261.9939</v>
      </c>
      <c r="I10" s="20"/>
    </row>
    <row r="11" spans="2:9">
      <c r="B11" s="38" t="s">
        <v>27</v>
      </c>
      <c r="C11" s="39">
        <v>262.96730000000002</v>
      </c>
      <c r="D11" s="39">
        <v>281</v>
      </c>
      <c r="E11" s="39">
        <v>231.96730000000002</v>
      </c>
      <c r="F11" s="39">
        <f>'Fall 2024 P2 FON Calculation'!K13</f>
        <v>260.96730000000002</v>
      </c>
      <c r="G11" s="40">
        <f t="shared" si="0"/>
        <v>231.96730000000002</v>
      </c>
      <c r="I11" s="20"/>
    </row>
    <row r="12" spans="2:9">
      <c r="B12" s="35" t="s">
        <v>28</v>
      </c>
      <c r="C12" s="36">
        <v>237.58510000000001</v>
      </c>
      <c r="D12" s="36">
        <v>249.8</v>
      </c>
      <c r="E12" s="36">
        <v>223.58510000000001</v>
      </c>
      <c r="F12" s="36">
        <f>'Fall 2024 P2 FON Calculation'!K14</f>
        <v>239.58510000000001</v>
      </c>
      <c r="G12" s="37">
        <f t="shared" si="0"/>
        <v>223.58510000000001</v>
      </c>
      <c r="I12" s="20"/>
    </row>
    <row r="13" spans="2:9">
      <c r="B13" s="38" t="s">
        <v>29</v>
      </c>
      <c r="C13" s="39">
        <v>157.0453</v>
      </c>
      <c r="D13" s="39">
        <v>164</v>
      </c>
      <c r="E13" s="39">
        <v>151.0453</v>
      </c>
      <c r="F13" s="39">
        <f>'Fall 2024 P2 FON Calculation'!K15</f>
        <v>162.0453</v>
      </c>
      <c r="G13" s="40">
        <f t="shared" si="0"/>
        <v>151.0453</v>
      </c>
      <c r="I13" s="20"/>
    </row>
    <row r="14" spans="2:9">
      <c r="B14" s="35" t="s">
        <v>30</v>
      </c>
      <c r="C14" s="36">
        <v>372.86709999999999</v>
      </c>
      <c r="D14" s="36">
        <v>427.75</v>
      </c>
      <c r="E14" s="36">
        <v>349.86709999999999</v>
      </c>
      <c r="F14" s="36">
        <f>'Fall 2024 P2 FON Calculation'!K16</f>
        <v>373.86709999999999</v>
      </c>
      <c r="G14" s="37">
        <f t="shared" si="0"/>
        <v>349.86709999999999</v>
      </c>
      <c r="I14" s="20"/>
    </row>
    <row r="15" spans="2:9">
      <c r="B15" s="38" t="s">
        <v>31</v>
      </c>
      <c r="C15" s="39">
        <v>31.951000000000001</v>
      </c>
      <c r="D15" s="39">
        <v>98</v>
      </c>
      <c r="E15" s="39">
        <v>29.951000000000001</v>
      </c>
      <c r="F15" s="39">
        <f>'Fall 2024 P2 FON Calculation'!K17</f>
        <v>30.951000000000001</v>
      </c>
      <c r="G15" s="40">
        <f t="shared" si="0"/>
        <v>29.951000000000001</v>
      </c>
      <c r="I15" s="20"/>
    </row>
    <row r="16" spans="2:9">
      <c r="B16" s="35" t="s">
        <v>32</v>
      </c>
      <c r="C16" s="36">
        <v>368.01979999999998</v>
      </c>
      <c r="D16" s="36">
        <v>486.04999999999995</v>
      </c>
      <c r="E16" s="36">
        <v>331.01979999999998</v>
      </c>
      <c r="F16" s="36">
        <f>'Fall 2024 P2 FON Calculation'!K18</f>
        <v>366.01979999999998</v>
      </c>
      <c r="G16" s="37">
        <f t="shared" si="0"/>
        <v>331.01979999999998</v>
      </c>
      <c r="I16" s="20"/>
    </row>
    <row r="17" spans="2:9">
      <c r="B17" s="38" t="s">
        <v>33</v>
      </c>
      <c r="C17" s="39">
        <v>7.6952999999999996</v>
      </c>
      <c r="D17" s="39">
        <v>31.2</v>
      </c>
      <c r="E17" s="39">
        <v>5.6952999999999996</v>
      </c>
      <c r="F17" s="39">
        <f>'Fall 2024 P2 FON Calculation'!K19</f>
        <v>8.6952999999999996</v>
      </c>
      <c r="G17" s="40">
        <f t="shared" si="0"/>
        <v>5.6952999999999996</v>
      </c>
      <c r="I17" s="20"/>
    </row>
    <row r="18" spans="2:9">
      <c r="B18" s="35" t="s">
        <v>34</v>
      </c>
      <c r="C18" s="36">
        <v>124.8176</v>
      </c>
      <c r="D18" s="36">
        <v>145</v>
      </c>
      <c r="E18" s="36">
        <v>117.8176</v>
      </c>
      <c r="F18" s="36">
        <f>'Fall 2024 P2 FON Calculation'!K20</f>
        <v>129.8176</v>
      </c>
      <c r="G18" s="37">
        <f t="shared" si="0"/>
        <v>117.8176</v>
      </c>
      <c r="I18" s="20"/>
    </row>
    <row r="19" spans="2:9">
      <c r="B19" s="38" t="s">
        <v>35</v>
      </c>
      <c r="C19" s="39">
        <v>321.95920000000001</v>
      </c>
      <c r="D19" s="39">
        <v>339.92999999999995</v>
      </c>
      <c r="E19" s="39">
        <v>302.95920000000001</v>
      </c>
      <c r="F19" s="39">
        <f>'Fall 2024 P2 FON Calculation'!K21</f>
        <v>321.95920000000001</v>
      </c>
      <c r="G19" s="40">
        <f t="shared" si="0"/>
        <v>302.95920000000001</v>
      </c>
      <c r="I19" s="20"/>
    </row>
    <row r="20" spans="2:9">
      <c r="B20" s="35" t="s">
        <v>36</v>
      </c>
      <c r="C20" s="36">
        <v>16.3188</v>
      </c>
      <c r="D20" s="36">
        <v>27</v>
      </c>
      <c r="E20" s="36">
        <v>14.3188</v>
      </c>
      <c r="F20" s="36">
        <f>'Fall 2024 P2 FON Calculation'!K22</f>
        <v>16.3188</v>
      </c>
      <c r="G20" s="37">
        <f t="shared" si="0"/>
        <v>14.3188</v>
      </c>
      <c r="I20" s="20"/>
    </row>
    <row r="21" spans="2:9">
      <c r="B21" s="38" t="s">
        <v>37</v>
      </c>
      <c r="C21" s="39">
        <v>340.55779999999999</v>
      </c>
      <c r="D21" s="39">
        <v>404</v>
      </c>
      <c r="E21" s="39">
        <v>314.55779999999999</v>
      </c>
      <c r="F21" s="39">
        <f>'Fall 2024 P2 FON Calculation'!K23</f>
        <v>333.55779999999999</v>
      </c>
      <c r="G21" s="40">
        <f t="shared" si="0"/>
        <v>314.55779999999999</v>
      </c>
      <c r="I21" s="20"/>
    </row>
    <row r="22" spans="2:9">
      <c r="B22" s="35" t="s">
        <v>38</v>
      </c>
      <c r="C22" s="36">
        <v>65.532399999999996</v>
      </c>
      <c r="D22" s="36">
        <v>72.63</v>
      </c>
      <c r="E22" s="36">
        <v>58.532399999999996</v>
      </c>
      <c r="F22" s="36">
        <f>'Fall 2024 P2 FON Calculation'!K24</f>
        <v>66.532399999999996</v>
      </c>
      <c r="G22" s="37">
        <f t="shared" si="0"/>
        <v>58.532399999999996</v>
      </c>
      <c r="I22" s="20"/>
    </row>
    <row r="23" spans="2:9">
      <c r="B23" s="38" t="s">
        <v>39</v>
      </c>
      <c r="C23" s="39">
        <v>201.0789</v>
      </c>
      <c r="D23" s="39">
        <v>221</v>
      </c>
      <c r="E23" s="39">
        <v>182.0789</v>
      </c>
      <c r="F23" s="39">
        <f>'Fall 2024 P2 FON Calculation'!K25</f>
        <v>197.0789</v>
      </c>
      <c r="G23" s="40">
        <f t="shared" si="0"/>
        <v>182.0789</v>
      </c>
      <c r="I23" s="20"/>
    </row>
    <row r="24" spans="2:9">
      <c r="B24" s="35" t="s">
        <v>40</v>
      </c>
      <c r="C24" s="36">
        <v>269.54349999999999</v>
      </c>
      <c r="D24" s="36">
        <v>295.02</v>
      </c>
      <c r="E24" s="36">
        <v>245.54349999999999</v>
      </c>
      <c r="F24" s="36">
        <f>'Fall 2024 P2 FON Calculation'!K26</f>
        <v>270.54349999999999</v>
      </c>
      <c r="G24" s="37">
        <f t="shared" si="0"/>
        <v>245.54349999999999</v>
      </c>
      <c r="I24" s="20"/>
    </row>
    <row r="25" spans="2:9">
      <c r="B25" s="38" t="s">
        <v>41</v>
      </c>
      <c r="C25" s="39">
        <v>106.95829999999999</v>
      </c>
      <c r="D25" s="39">
        <v>117.73</v>
      </c>
      <c r="E25" s="39">
        <v>106.95829999999999</v>
      </c>
      <c r="F25" s="39">
        <f>'Fall 2024 P2 FON Calculation'!K27</f>
        <v>113.95829999999999</v>
      </c>
      <c r="G25" s="40">
        <f t="shared" si="0"/>
        <v>106.95829999999999</v>
      </c>
      <c r="I25" s="20"/>
    </row>
    <row r="26" spans="2:9">
      <c r="B26" s="35" t="s">
        <v>42</v>
      </c>
      <c r="C26" s="36">
        <v>105.06059999999999</v>
      </c>
      <c r="D26" s="36">
        <v>128.87</v>
      </c>
      <c r="E26" s="36">
        <v>99.060599999999994</v>
      </c>
      <c r="F26" s="36">
        <f>'Fall 2024 P2 FON Calculation'!K28</f>
        <v>102.06059999999999</v>
      </c>
      <c r="G26" s="37">
        <f t="shared" si="0"/>
        <v>99.060599999999994</v>
      </c>
      <c r="I26" s="20"/>
    </row>
    <row r="27" spans="2:9">
      <c r="B27" s="38" t="s">
        <v>43</v>
      </c>
      <c r="C27" s="39">
        <v>467.78919999999999</v>
      </c>
      <c r="D27" s="39">
        <v>502</v>
      </c>
      <c r="E27" s="39">
        <v>437.78919999999999</v>
      </c>
      <c r="F27" s="39">
        <f>'Fall 2024 P2 FON Calculation'!K29</f>
        <v>473.78919999999994</v>
      </c>
      <c r="G27" s="40">
        <f t="shared" si="0"/>
        <v>437.78919999999999</v>
      </c>
      <c r="I27" s="20"/>
    </row>
    <row r="28" spans="2:9">
      <c r="B28" s="35" t="s">
        <v>44</v>
      </c>
      <c r="C28" s="36">
        <v>18.559999999999999</v>
      </c>
      <c r="D28" s="36">
        <v>35.85</v>
      </c>
      <c r="E28" s="36">
        <v>18.559999999999999</v>
      </c>
      <c r="F28" s="36">
        <f>'Fall 2024 P2 FON Calculation'!K30</f>
        <v>18.559999999999999</v>
      </c>
      <c r="G28" s="37">
        <f t="shared" si="0"/>
        <v>18.559999999999999</v>
      </c>
      <c r="I28" s="20"/>
    </row>
    <row r="29" spans="2:9">
      <c r="B29" s="38" t="s">
        <v>45</v>
      </c>
      <c r="C29" s="39">
        <v>12.046900000000001</v>
      </c>
      <c r="D29" s="39">
        <v>18.98</v>
      </c>
      <c r="E29" s="39">
        <v>9.0469000000000008</v>
      </c>
      <c r="F29" s="39">
        <f>'Fall 2024 P2 FON Calculation'!K31</f>
        <v>11.046900000000001</v>
      </c>
      <c r="G29" s="40">
        <f t="shared" si="0"/>
        <v>9.0469000000000008</v>
      </c>
      <c r="I29" s="20"/>
    </row>
    <row r="30" spans="2:9">
      <c r="B30" s="35" t="s">
        <v>46</v>
      </c>
      <c r="C30" s="36">
        <v>330.959</v>
      </c>
      <c r="D30" s="36">
        <v>348.31</v>
      </c>
      <c r="E30" s="36">
        <v>314.959</v>
      </c>
      <c r="F30" s="36">
        <f>'Fall 2024 P2 FON Calculation'!K32</f>
        <v>340.959</v>
      </c>
      <c r="G30" s="37">
        <f t="shared" si="0"/>
        <v>314.959</v>
      </c>
      <c r="I30" s="20"/>
    </row>
    <row r="31" spans="2:9">
      <c r="B31" s="38" t="s">
        <v>47</v>
      </c>
      <c r="C31" s="39">
        <v>1469.7841000000001</v>
      </c>
      <c r="D31" s="39">
        <v>1573.12</v>
      </c>
      <c r="E31" s="39">
        <v>1337.7841000000001</v>
      </c>
      <c r="F31" s="39">
        <f>'Fall 2024 P2 FON Calculation'!K33</f>
        <v>1482.7841000000001</v>
      </c>
      <c r="G31" s="40">
        <f t="shared" si="0"/>
        <v>1337.7841000000001</v>
      </c>
      <c r="I31" s="20"/>
    </row>
    <row r="32" spans="2:9">
      <c r="B32" s="35" t="s">
        <v>48</v>
      </c>
      <c r="C32" s="36">
        <v>798.10069999999996</v>
      </c>
      <c r="D32" s="36">
        <v>894.904</v>
      </c>
      <c r="E32" s="36">
        <v>750.10069999999996</v>
      </c>
      <c r="F32" s="36">
        <f>'Fall 2024 P2 FON Calculation'!K34</f>
        <v>841.10069999999996</v>
      </c>
      <c r="G32" s="37">
        <f t="shared" si="0"/>
        <v>750.10069999999996</v>
      </c>
      <c r="I32" s="20"/>
    </row>
    <row r="33" spans="2:9">
      <c r="B33" s="38" t="s">
        <v>49</v>
      </c>
      <c r="C33" s="39">
        <v>48.504600000000003</v>
      </c>
      <c r="D33" s="39">
        <v>145.9</v>
      </c>
      <c r="E33" s="39">
        <v>45.504600000000003</v>
      </c>
      <c r="F33" s="39">
        <f>'Fall 2024 P2 FON Calculation'!K35</f>
        <v>50.504600000000003</v>
      </c>
      <c r="G33" s="40">
        <f t="shared" si="0"/>
        <v>45.504600000000003</v>
      </c>
      <c r="I33" s="20"/>
    </row>
    <row r="34" spans="2:9">
      <c r="B34" s="35" t="s">
        <v>50</v>
      </c>
      <c r="C34" s="36">
        <v>41.740099999999998</v>
      </c>
      <c r="D34" s="36">
        <v>57</v>
      </c>
      <c r="E34" s="36">
        <v>35.740099999999998</v>
      </c>
      <c r="F34" s="36">
        <f>'Fall 2024 P2 FON Calculation'!K36</f>
        <v>38.740099999999998</v>
      </c>
      <c r="G34" s="37">
        <f t="shared" si="0"/>
        <v>35.740099999999998</v>
      </c>
      <c r="I34" s="20"/>
    </row>
    <row r="35" spans="2:9">
      <c r="B35" s="38" t="s">
        <v>51</v>
      </c>
      <c r="C35" s="39">
        <v>170.74430000000001</v>
      </c>
      <c r="D35" s="39">
        <v>184.8</v>
      </c>
      <c r="E35" s="39">
        <v>167.74430000000001</v>
      </c>
      <c r="F35" s="39">
        <f>'Fall 2024 P2 FON Calculation'!K37</f>
        <v>186.74430000000001</v>
      </c>
      <c r="G35" s="40">
        <f t="shared" si="0"/>
        <v>167.74430000000001</v>
      </c>
      <c r="I35" s="20"/>
    </row>
    <row r="36" spans="2:9">
      <c r="B36" s="35" t="s">
        <v>52</v>
      </c>
      <c r="C36" s="36">
        <v>147.2406</v>
      </c>
      <c r="D36" s="36">
        <v>202.45000000000002</v>
      </c>
      <c r="E36" s="36">
        <v>133.2406</v>
      </c>
      <c r="F36" s="36">
        <f>'Fall 2024 P2 FON Calculation'!K38</f>
        <v>144.2406</v>
      </c>
      <c r="G36" s="37">
        <f t="shared" si="0"/>
        <v>133.2406</v>
      </c>
      <c r="I36" s="20"/>
    </row>
    <row r="37" spans="2:9">
      <c r="B37" s="38" t="s">
        <v>53</v>
      </c>
      <c r="C37" s="39">
        <v>104.68680000000001</v>
      </c>
      <c r="D37" s="39">
        <v>118.07</v>
      </c>
      <c r="E37" s="39">
        <v>96.686800000000005</v>
      </c>
      <c r="F37" s="39">
        <f>'Fall 2024 P2 FON Calculation'!K39</f>
        <v>100.68680000000001</v>
      </c>
      <c r="G37" s="40">
        <f t="shared" si="0"/>
        <v>96.686800000000005</v>
      </c>
      <c r="I37" s="20"/>
    </row>
    <row r="38" spans="2:9">
      <c r="B38" s="35" t="s">
        <v>54</v>
      </c>
      <c r="C38" s="36">
        <v>419.09750000000003</v>
      </c>
      <c r="D38" s="36">
        <v>449</v>
      </c>
      <c r="E38" s="36">
        <v>397.09750000000003</v>
      </c>
      <c r="F38" s="36">
        <f>'Fall 2024 P2 FON Calculation'!K40</f>
        <v>423.09750000000003</v>
      </c>
      <c r="G38" s="37">
        <f t="shared" si="0"/>
        <v>397.09750000000003</v>
      </c>
      <c r="I38" s="20"/>
    </row>
    <row r="39" spans="2:9">
      <c r="B39" s="38" t="s">
        <v>55</v>
      </c>
      <c r="C39" s="39">
        <v>152.57810000000001</v>
      </c>
      <c r="D39" s="39">
        <v>192.05</v>
      </c>
      <c r="E39" s="39">
        <v>150.57810000000001</v>
      </c>
      <c r="F39" s="39">
        <f>'Fall 2024 P2 FON Calculation'!K41</f>
        <v>162.57810000000001</v>
      </c>
      <c r="G39" s="40">
        <f t="shared" si="0"/>
        <v>150.57810000000001</v>
      </c>
      <c r="I39" s="20"/>
    </row>
    <row r="40" spans="2:9">
      <c r="B40" s="35" t="s">
        <v>56</v>
      </c>
      <c r="C40" s="36">
        <v>66.383899999999997</v>
      </c>
      <c r="D40" s="36">
        <v>92.86999999999999</v>
      </c>
      <c r="E40" s="36">
        <v>57.383899999999997</v>
      </c>
      <c r="F40" s="36">
        <f>'Fall 2024 P2 FON Calculation'!K42</f>
        <v>60.383899999999997</v>
      </c>
      <c r="G40" s="37">
        <f t="shared" si="0"/>
        <v>57.383899999999997</v>
      </c>
      <c r="I40" s="20"/>
    </row>
    <row r="41" spans="2:9">
      <c r="B41" s="38" t="s">
        <v>57</v>
      </c>
      <c r="C41" s="39">
        <v>495.17700000000002</v>
      </c>
      <c r="D41" s="39">
        <v>534.4</v>
      </c>
      <c r="E41" s="39">
        <v>467.17700000000002</v>
      </c>
      <c r="F41" s="39">
        <f>'Fall 2024 P2 FON Calculation'!K43</f>
        <v>501.17700000000002</v>
      </c>
      <c r="G41" s="40">
        <f t="shared" si="0"/>
        <v>467.17700000000002</v>
      </c>
      <c r="I41" s="20"/>
    </row>
    <row r="42" spans="2:9">
      <c r="B42" s="35" t="s">
        <v>58</v>
      </c>
      <c r="C42" s="36">
        <v>97.644300000000001</v>
      </c>
      <c r="D42" s="36">
        <v>113</v>
      </c>
      <c r="E42" s="36">
        <v>87.644300000000001</v>
      </c>
      <c r="F42" s="36">
        <f>'Fall 2024 P2 FON Calculation'!K44</f>
        <v>94.644300000000001</v>
      </c>
      <c r="G42" s="37">
        <f t="shared" si="0"/>
        <v>87.644300000000001</v>
      </c>
      <c r="I42" s="20"/>
    </row>
    <row r="43" spans="2:9">
      <c r="B43" s="38" t="s">
        <v>59</v>
      </c>
      <c r="C43" s="39">
        <v>25.435300000000002</v>
      </c>
      <c r="D43" s="39">
        <v>48</v>
      </c>
      <c r="E43" s="39">
        <v>25.435300000000002</v>
      </c>
      <c r="F43" s="39">
        <f>'Fall 2024 P2 FON Calculation'!K45</f>
        <v>27.435300000000002</v>
      </c>
      <c r="G43" s="40">
        <f t="shared" si="0"/>
        <v>25.435300000000002</v>
      </c>
      <c r="I43" s="20"/>
    </row>
    <row r="44" spans="2:9">
      <c r="B44" s="35" t="s">
        <v>60</v>
      </c>
      <c r="C44" s="36">
        <v>271.1318</v>
      </c>
      <c r="D44" s="36">
        <v>295.20000000000005</v>
      </c>
      <c r="E44" s="36">
        <v>239.1318</v>
      </c>
      <c r="F44" s="36">
        <f>'Fall 2024 P2 FON Calculation'!K46</f>
        <v>256.1318</v>
      </c>
      <c r="G44" s="37">
        <f t="shared" si="0"/>
        <v>239.1318</v>
      </c>
      <c r="I44" s="20"/>
    </row>
    <row r="45" spans="2:9">
      <c r="B45" s="38" t="s">
        <v>61</v>
      </c>
      <c r="C45" s="39">
        <v>416.36059999999998</v>
      </c>
      <c r="D45" s="39">
        <v>441</v>
      </c>
      <c r="E45" s="39">
        <v>372.36059999999998</v>
      </c>
      <c r="F45" s="39">
        <f>'Fall 2024 P2 FON Calculation'!K47</f>
        <v>406.36059999999998</v>
      </c>
      <c r="G45" s="40">
        <f t="shared" si="0"/>
        <v>372.36059999999998</v>
      </c>
      <c r="I45" s="20"/>
    </row>
    <row r="46" spans="2:9">
      <c r="B46" s="35" t="s">
        <v>62</v>
      </c>
      <c r="C46" s="36">
        <v>261.85899999999998</v>
      </c>
      <c r="D46" s="36">
        <v>310.02</v>
      </c>
      <c r="E46" s="36">
        <v>249.85899999999998</v>
      </c>
      <c r="F46" s="36">
        <f>'Fall 2024 P2 FON Calculation'!K48</f>
        <v>265.85899999999998</v>
      </c>
      <c r="G46" s="37">
        <f t="shared" si="0"/>
        <v>249.85899999999998</v>
      </c>
      <c r="I46" s="20"/>
    </row>
    <row r="47" spans="2:9">
      <c r="B47" s="38" t="s">
        <v>63</v>
      </c>
      <c r="C47" s="39">
        <v>305.36529999999999</v>
      </c>
      <c r="D47" s="39">
        <v>358</v>
      </c>
      <c r="E47" s="39">
        <v>289.36529999999999</v>
      </c>
      <c r="F47" s="39">
        <f>'Fall 2024 P2 FON Calculation'!K49</f>
        <v>323.36529999999999</v>
      </c>
      <c r="G47" s="40">
        <f t="shared" si="0"/>
        <v>289.36529999999999</v>
      </c>
      <c r="I47" s="20"/>
    </row>
    <row r="48" spans="2:9">
      <c r="B48" s="35" t="s">
        <v>64</v>
      </c>
      <c r="C48" s="36">
        <v>57.157499999999999</v>
      </c>
      <c r="D48" s="36">
        <v>76.47</v>
      </c>
      <c r="E48" s="36">
        <v>51.157499999999999</v>
      </c>
      <c r="F48" s="36">
        <f>'Fall 2024 P2 FON Calculation'!K50</f>
        <v>57.157499999999999</v>
      </c>
      <c r="G48" s="37">
        <f t="shared" si="0"/>
        <v>51.157499999999999</v>
      </c>
      <c r="I48" s="20"/>
    </row>
    <row r="49" spans="2:10">
      <c r="B49" s="38" t="s">
        <v>65</v>
      </c>
      <c r="C49" s="39">
        <v>212.8244</v>
      </c>
      <c r="D49" s="39">
        <v>223</v>
      </c>
      <c r="E49" s="39">
        <v>205.8244</v>
      </c>
      <c r="F49" s="39">
        <f>'Fall 2024 P2 FON Calculation'!K51</f>
        <v>204.8244</v>
      </c>
      <c r="G49" s="40">
        <f t="shared" si="0"/>
        <v>204.8244</v>
      </c>
      <c r="I49" s="20"/>
      <c r="J49" s="20"/>
    </row>
    <row r="50" spans="2:10">
      <c r="B50" s="35" t="s">
        <v>66</v>
      </c>
      <c r="C50" s="36">
        <v>422.35449999999997</v>
      </c>
      <c r="D50" s="36">
        <v>483.63</v>
      </c>
      <c r="E50" s="36">
        <v>399.35449999999997</v>
      </c>
      <c r="F50" s="36">
        <f>'Fall 2024 P2 FON Calculation'!K52</f>
        <v>436.35449999999997</v>
      </c>
      <c r="G50" s="37">
        <f t="shared" si="0"/>
        <v>399.35449999999997</v>
      </c>
      <c r="I50" s="20"/>
    </row>
    <row r="51" spans="2:10">
      <c r="B51" s="38" t="s">
        <v>67</v>
      </c>
      <c r="C51" s="39">
        <v>222.38229999999999</v>
      </c>
      <c r="D51" s="39">
        <v>282.08000000000004</v>
      </c>
      <c r="E51" s="39">
        <v>213.38229999999999</v>
      </c>
      <c r="F51" s="39">
        <f>'Fall 2024 P2 FON Calculation'!K53</f>
        <v>229.38229999999999</v>
      </c>
      <c r="G51" s="40">
        <f t="shared" si="0"/>
        <v>213.38229999999999</v>
      </c>
      <c r="I51" s="20"/>
    </row>
    <row r="52" spans="2:10">
      <c r="B52" s="35" t="s">
        <v>68</v>
      </c>
      <c r="C52" s="36">
        <v>489.00289999999995</v>
      </c>
      <c r="D52" s="36">
        <v>573.04999999999995</v>
      </c>
      <c r="E52" s="36">
        <v>460.00289999999995</v>
      </c>
      <c r="F52" s="36">
        <f>'Fall 2024 P2 FON Calculation'!K54</f>
        <v>485.00289999999995</v>
      </c>
      <c r="G52" s="37">
        <f t="shared" si="0"/>
        <v>460.00289999999995</v>
      </c>
      <c r="I52" s="20"/>
    </row>
    <row r="53" spans="2:10">
      <c r="B53" s="38" t="s">
        <v>69</v>
      </c>
      <c r="C53" s="39">
        <v>163.06739999999999</v>
      </c>
      <c r="D53" s="39">
        <v>365.7</v>
      </c>
      <c r="E53" s="39">
        <v>140.06739999999999</v>
      </c>
      <c r="F53" s="39">
        <f>'Fall 2024 P2 FON Calculation'!K55</f>
        <v>151.06739999999999</v>
      </c>
      <c r="G53" s="40">
        <f t="shared" si="0"/>
        <v>140.06739999999999</v>
      </c>
      <c r="I53" s="20"/>
    </row>
    <row r="54" spans="2:10">
      <c r="B54" s="35" t="s">
        <v>70</v>
      </c>
      <c r="C54" s="36">
        <v>234.05119999999999</v>
      </c>
      <c r="D54" s="36">
        <v>233.13</v>
      </c>
      <c r="E54" s="36">
        <v>213.05119999999999</v>
      </c>
      <c r="F54" s="36">
        <f>'Fall 2024 P2 FON Calculation'!K56</f>
        <v>240.05119999999999</v>
      </c>
      <c r="G54" s="37">
        <f t="shared" si="0"/>
        <v>213.05119999999999</v>
      </c>
      <c r="I54" s="20"/>
    </row>
    <row r="55" spans="2:10">
      <c r="B55" s="38" t="s">
        <v>71</v>
      </c>
      <c r="C55" s="39">
        <v>170.82929999999999</v>
      </c>
      <c r="D55" s="39">
        <v>236.88000000000002</v>
      </c>
      <c r="E55" s="39">
        <v>148.82929999999999</v>
      </c>
      <c r="F55" s="39">
        <f>'Fall 2024 P2 FON Calculation'!K57</f>
        <v>166.82929999999999</v>
      </c>
      <c r="G55" s="40">
        <f t="shared" si="0"/>
        <v>148.82929999999999</v>
      </c>
      <c r="I55" s="20"/>
    </row>
    <row r="56" spans="2:10">
      <c r="B56" s="35" t="s">
        <v>72</v>
      </c>
      <c r="C56" s="36">
        <v>118.1765</v>
      </c>
      <c r="D56" s="36">
        <v>132.85</v>
      </c>
      <c r="E56" s="36">
        <v>114.1765</v>
      </c>
      <c r="F56" s="36">
        <f>'Fall 2024 P2 FON Calculation'!K58</f>
        <v>121.1765</v>
      </c>
      <c r="G56" s="37">
        <f t="shared" si="0"/>
        <v>114.1765</v>
      </c>
      <c r="I56" s="20"/>
    </row>
    <row r="57" spans="2:10">
      <c r="B57" s="38" t="s">
        <v>73</v>
      </c>
      <c r="C57" s="39">
        <v>223.73450000000003</v>
      </c>
      <c r="D57" s="39">
        <v>353.83</v>
      </c>
      <c r="E57" s="39">
        <v>210.73450000000003</v>
      </c>
      <c r="F57" s="39">
        <f>'Fall 2024 P2 FON Calculation'!K59</f>
        <v>231.73450000000003</v>
      </c>
      <c r="G57" s="40">
        <f t="shared" si="0"/>
        <v>210.73450000000003</v>
      </c>
      <c r="I57" s="20"/>
    </row>
    <row r="58" spans="2:10">
      <c r="B58" s="35" t="s">
        <v>74</v>
      </c>
      <c r="C58" s="36">
        <v>197.14959999999999</v>
      </c>
      <c r="D58" s="36">
        <v>213</v>
      </c>
      <c r="E58" s="36">
        <v>183.14959999999999</v>
      </c>
      <c r="F58" s="36">
        <f>'Fall 2024 P2 FON Calculation'!K60</f>
        <v>197.14959999999999</v>
      </c>
      <c r="G58" s="37">
        <f t="shared" si="0"/>
        <v>183.14959999999999</v>
      </c>
      <c r="I58" s="20"/>
    </row>
    <row r="59" spans="2:10">
      <c r="B59" s="38" t="s">
        <v>75</v>
      </c>
      <c r="C59" s="39">
        <v>211.6576</v>
      </c>
      <c r="D59" s="39">
        <v>234.39999999999998</v>
      </c>
      <c r="E59" s="39">
        <v>189.6576</v>
      </c>
      <c r="F59" s="39">
        <f>'Fall 2024 P2 FON Calculation'!K61</f>
        <v>206.6576</v>
      </c>
      <c r="G59" s="40">
        <f t="shared" si="0"/>
        <v>189.6576</v>
      </c>
      <c r="I59" s="20"/>
    </row>
    <row r="60" spans="2:10">
      <c r="B60" s="35" t="s">
        <v>76</v>
      </c>
      <c r="C60" s="36">
        <v>245.57999999999998</v>
      </c>
      <c r="D60" s="36">
        <v>351.08000000000004</v>
      </c>
      <c r="E60" s="36">
        <v>224.57999999999998</v>
      </c>
      <c r="F60" s="36">
        <f>'Fall 2024 P2 FON Calculation'!K62</f>
        <v>235.57999999999998</v>
      </c>
      <c r="G60" s="37">
        <f t="shared" si="0"/>
        <v>224.57999999999998</v>
      </c>
      <c r="I60" s="20"/>
    </row>
    <row r="61" spans="2:10">
      <c r="B61" s="38" t="s">
        <v>77</v>
      </c>
      <c r="C61" s="39">
        <v>195.28219999999999</v>
      </c>
      <c r="D61" s="39">
        <v>219</v>
      </c>
      <c r="E61" s="39">
        <v>188.28219999999999</v>
      </c>
      <c r="F61" s="39">
        <f>'Fall 2024 P2 FON Calculation'!K63</f>
        <v>203.28219999999999</v>
      </c>
      <c r="G61" s="40">
        <f t="shared" si="0"/>
        <v>188.28219999999999</v>
      </c>
      <c r="I61" s="20"/>
    </row>
    <row r="62" spans="2:10">
      <c r="B62" s="35" t="s">
        <v>78</v>
      </c>
      <c r="C62" s="36">
        <v>112.30240000000001</v>
      </c>
      <c r="D62" s="36">
        <v>124</v>
      </c>
      <c r="E62" s="36">
        <v>99.302400000000006</v>
      </c>
      <c r="F62" s="36">
        <f>'Fall 2024 P2 FON Calculation'!K64</f>
        <v>109.30240000000001</v>
      </c>
      <c r="G62" s="37">
        <f t="shared" si="0"/>
        <v>99.302400000000006</v>
      </c>
      <c r="I62" s="20"/>
    </row>
    <row r="63" spans="2:10">
      <c r="B63" s="38" t="s">
        <v>79</v>
      </c>
      <c r="C63" s="39">
        <v>190.73349999999999</v>
      </c>
      <c r="D63" s="39">
        <v>236.81</v>
      </c>
      <c r="E63" s="39">
        <v>173.73349999999999</v>
      </c>
      <c r="F63" s="39">
        <f>'Fall 2024 P2 FON Calculation'!K65</f>
        <v>189.73349999999999</v>
      </c>
      <c r="G63" s="40">
        <f t="shared" si="0"/>
        <v>173.73349999999999</v>
      </c>
      <c r="I63" s="20"/>
    </row>
    <row r="64" spans="2:10">
      <c r="B64" s="35" t="s">
        <v>80</v>
      </c>
      <c r="C64" s="36">
        <v>22.056600000000003</v>
      </c>
      <c r="D64" s="36">
        <v>58.790000000000006</v>
      </c>
      <c r="E64" s="36">
        <v>19.056600000000003</v>
      </c>
      <c r="F64" s="36">
        <f>'Fall 2024 P2 FON Calculation'!K66</f>
        <v>21.056600000000003</v>
      </c>
      <c r="G64" s="37">
        <f t="shared" si="0"/>
        <v>19.056600000000003</v>
      </c>
      <c r="I64" s="20"/>
    </row>
    <row r="65" spans="2:9">
      <c r="B65" s="38" t="s">
        <v>81</v>
      </c>
      <c r="C65" s="39">
        <v>118.7518</v>
      </c>
      <c r="D65" s="39">
        <v>131</v>
      </c>
      <c r="E65" s="39">
        <v>109.7518</v>
      </c>
      <c r="F65" s="39">
        <f>'Fall 2024 P2 FON Calculation'!K67</f>
        <v>118.7518</v>
      </c>
      <c r="G65" s="40">
        <f t="shared" si="0"/>
        <v>109.7518</v>
      </c>
      <c r="I65" s="20"/>
    </row>
    <row r="66" spans="2:9">
      <c r="B66" s="35" t="s">
        <v>82</v>
      </c>
      <c r="C66" s="36">
        <v>275.63409999999999</v>
      </c>
      <c r="D66" s="36">
        <v>310.73</v>
      </c>
      <c r="E66" s="36">
        <v>268.63409999999999</v>
      </c>
      <c r="F66" s="36">
        <f>'Fall 2024 P2 FON Calculation'!K68</f>
        <v>271.63409999999999</v>
      </c>
      <c r="G66" s="37">
        <f t="shared" si="0"/>
        <v>268.63409999999999</v>
      </c>
      <c r="I66" s="20"/>
    </row>
    <row r="67" spans="2:9">
      <c r="B67" s="38" t="s">
        <v>83</v>
      </c>
      <c r="C67" s="39">
        <v>371.79559999999998</v>
      </c>
      <c r="D67" s="39">
        <v>409.44</v>
      </c>
      <c r="E67" s="39">
        <v>349.79559999999998</v>
      </c>
      <c r="F67" s="39">
        <f>'Fall 2024 P2 FON Calculation'!K69</f>
        <v>377.79559999999998</v>
      </c>
      <c r="G67" s="40">
        <f t="shared" si="0"/>
        <v>349.79559999999998</v>
      </c>
      <c r="I67" s="20"/>
    </row>
    <row r="68" spans="2:9">
      <c r="B68" s="35" t="s">
        <v>84</v>
      </c>
      <c r="C68" s="36">
        <v>246.16680000000002</v>
      </c>
      <c r="D68" s="36">
        <v>292.56</v>
      </c>
      <c r="E68" s="36">
        <v>232.16680000000002</v>
      </c>
      <c r="F68" s="36">
        <f>'Fall 2024 P2 FON Calculation'!K70</f>
        <v>253.16680000000002</v>
      </c>
      <c r="G68" s="37">
        <f t="shared" si="0"/>
        <v>232.16680000000002</v>
      </c>
      <c r="I68" s="20"/>
    </row>
    <row r="69" spans="2:9">
      <c r="B69" s="38" t="s">
        <v>85</v>
      </c>
      <c r="C69" s="39">
        <v>566.25130000000001</v>
      </c>
      <c r="D69" s="39">
        <v>664.76</v>
      </c>
      <c r="E69" s="39">
        <v>535.25130000000001</v>
      </c>
      <c r="F69" s="39">
        <f>'Fall 2024 P2 FON Calculation'!K71</f>
        <v>587.25130000000001</v>
      </c>
      <c r="G69" s="40">
        <f t="shared" si="0"/>
        <v>535.25130000000001</v>
      </c>
      <c r="I69" s="20"/>
    </row>
    <row r="70" spans="2:9">
      <c r="B70" s="35" t="s">
        <v>86</v>
      </c>
      <c r="C70" s="36">
        <v>401.83260000000001</v>
      </c>
      <c r="D70" s="36">
        <v>438.82</v>
      </c>
      <c r="E70" s="36">
        <v>370.83260000000001</v>
      </c>
      <c r="F70" s="36">
        <f>'Fall 2024 P2 FON Calculation'!K72</f>
        <v>402.83260000000001</v>
      </c>
      <c r="G70" s="37">
        <f t="shared" ref="G70:G76" si="1">(IF(E70&gt;F70,F70,E70))</f>
        <v>370.83260000000001</v>
      </c>
      <c r="I70" s="20"/>
    </row>
    <row r="71" spans="2:9">
      <c r="B71" s="38" t="s">
        <v>87</v>
      </c>
      <c r="C71" s="39">
        <v>125.01429999999999</v>
      </c>
      <c r="D71" s="39">
        <v>116</v>
      </c>
      <c r="E71" s="39">
        <v>122.01429999999999</v>
      </c>
      <c r="F71" s="39">
        <f>'Fall 2024 P2 FON Calculation'!K73</f>
        <v>140.01429999999999</v>
      </c>
      <c r="G71" s="40">
        <f t="shared" si="1"/>
        <v>122.01429999999999</v>
      </c>
      <c r="I71" s="20"/>
    </row>
    <row r="72" spans="2:9">
      <c r="B72" s="35" t="s">
        <v>88</v>
      </c>
      <c r="C72" s="36">
        <v>84.5732</v>
      </c>
      <c r="D72" s="36">
        <v>100</v>
      </c>
      <c r="E72" s="36">
        <v>76.5732</v>
      </c>
      <c r="F72" s="36">
        <f>'Fall 2024 P2 FON Calculation'!K74</f>
        <v>86.5732</v>
      </c>
      <c r="G72" s="37">
        <f t="shared" si="1"/>
        <v>76.5732</v>
      </c>
      <c r="I72" s="20"/>
    </row>
    <row r="73" spans="2:9">
      <c r="B73" s="38" t="s">
        <v>89</v>
      </c>
      <c r="C73" s="39">
        <v>56.719899999999996</v>
      </c>
      <c r="D73" s="39">
        <v>61</v>
      </c>
      <c r="E73" s="39">
        <v>46.719899999999996</v>
      </c>
      <c r="F73" s="39">
        <f>'Fall 2024 P2 FON Calculation'!K75</f>
        <v>52.719899999999996</v>
      </c>
      <c r="G73" s="40">
        <f t="shared" si="1"/>
        <v>46.719899999999996</v>
      </c>
      <c r="I73" s="20"/>
    </row>
    <row r="74" spans="2:9">
      <c r="B74" s="35" t="s">
        <v>90</v>
      </c>
      <c r="C74" s="36">
        <v>184.1437</v>
      </c>
      <c r="D74" s="36">
        <v>269.33</v>
      </c>
      <c r="E74" s="36">
        <v>171.1437</v>
      </c>
      <c r="F74" s="36">
        <f>'Fall 2024 P2 FON Calculation'!K76</f>
        <v>187.1437</v>
      </c>
      <c r="G74" s="37">
        <f t="shared" si="1"/>
        <v>171.1437</v>
      </c>
      <c r="I74" s="20"/>
    </row>
    <row r="75" spans="2:9">
      <c r="B75" s="38" t="s">
        <v>91</v>
      </c>
      <c r="C75" s="39">
        <v>275.23689999999999</v>
      </c>
      <c r="D75" s="39">
        <v>309</v>
      </c>
      <c r="E75" s="39">
        <v>262.23689999999999</v>
      </c>
      <c r="F75" s="39">
        <f>'Fall 2024 P2 FON Calculation'!K77</f>
        <v>285.23689999999999</v>
      </c>
      <c r="G75" s="40">
        <f t="shared" si="1"/>
        <v>262.23689999999999</v>
      </c>
      <c r="I75" s="20"/>
    </row>
    <row r="76" spans="2:9">
      <c r="B76" s="35" t="s">
        <v>92</v>
      </c>
      <c r="C76" s="36">
        <v>94.106399999999994</v>
      </c>
      <c r="D76" s="36">
        <v>120.55</v>
      </c>
      <c r="E76" s="36">
        <v>88.106399999999994</v>
      </c>
      <c r="F76" s="36">
        <f>'Fall 2024 P2 FON Calculation'!K78</f>
        <v>94.106399999999994</v>
      </c>
      <c r="G76" s="37">
        <f t="shared" si="1"/>
        <v>88.106399999999994</v>
      </c>
      <c r="I76" s="20"/>
    </row>
    <row r="77" spans="2:9" ht="15.75" thickBot="1">
      <c r="B77" s="41" t="s">
        <v>93</v>
      </c>
      <c r="C77" s="42">
        <f>SUBTOTAL(109,'Fall 2024 Compliance FON'!$C$5:$C$76)</f>
        <v>16304.251999999997</v>
      </c>
      <c r="D77" s="42">
        <f>SUBTOTAL(109,'Fall 2024 Compliance FON'!$D$5:$D$76)</f>
        <v>19051.333999999995</v>
      </c>
      <c r="E77" s="42">
        <f>SUBTOTAL(109,'Fall 2024 Compliance FON'!$E$5:$E$76)</f>
        <v>15173.251999999999</v>
      </c>
      <c r="F77" s="42">
        <f>SUBTOTAL(109,'Fall 2024 Compliance FON'!$F$5:$F$76)</f>
        <v>16466.251999999997</v>
      </c>
      <c r="G77" s="43">
        <f>SUBTOTAL(109,'Fall 2024 Compliance FON'!$G$5:$G$76)</f>
        <v>15172.251999999999</v>
      </c>
      <c r="I77" s="20"/>
    </row>
    <row r="79" spans="2:9" s="14" customFormat="1">
      <c r="B79" s="14">
        <v>1</v>
      </c>
      <c r="C79" s="14">
        <v>2</v>
      </c>
      <c r="D79" s="14">
        <v>3</v>
      </c>
      <c r="E79" s="14">
        <v>4</v>
      </c>
      <c r="F79" s="14">
        <v>5</v>
      </c>
      <c r="G79" s="14">
        <v>6</v>
      </c>
    </row>
    <row r="80" spans="2:9">
      <c r="F80" s="172"/>
    </row>
  </sheetData>
  <printOptions horizontalCentered="1"/>
  <pageMargins left="0.7" right="0.7" top="0.75" bottom="0.75" header="0.3" footer="0.3"/>
  <pageSetup scale="75" orientation="portrait" r:id="rId1"/>
  <headerFooter>
    <oddFooter>&amp;R&amp;D</oddFooter>
  </headerFooter>
  <rowBreaks count="1" manualBreakCount="1">
    <brk id="5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940-C64D-46A4-B1E0-A191790233DB}">
  <sheetPr>
    <pageSetUpPr fitToPage="1"/>
  </sheetPr>
  <dimension ref="A1:D17"/>
  <sheetViews>
    <sheetView showGridLines="0" zoomScale="90" zoomScaleNormal="90" workbookViewId="0">
      <selection activeCell="B5" sqref="B5"/>
    </sheetView>
  </sheetViews>
  <sheetFormatPr defaultColWidth="8.85546875" defaultRowHeight="15"/>
  <cols>
    <col min="1" max="1" width="3.5703125" style="6" customWidth="1"/>
    <col min="2" max="2" width="26.7109375" style="8" customWidth="1"/>
    <col min="3" max="3" width="90.42578125" style="5" customWidth="1"/>
    <col min="4" max="4" width="64" style="5" customWidth="1"/>
    <col min="5" max="5" width="52.85546875" style="6" customWidth="1"/>
    <col min="6" max="16384" width="8.85546875" style="6"/>
  </cols>
  <sheetData>
    <row r="1" spans="1:4" customFormat="1" ht="25.15" customHeight="1">
      <c r="A1" s="18" t="s">
        <v>0</v>
      </c>
      <c r="B1" s="1"/>
      <c r="C1" s="1"/>
    </row>
    <row r="2" spans="1:4" customFormat="1" ht="25.15" customHeight="1">
      <c r="A2" s="18" t="s">
        <v>2</v>
      </c>
    </row>
    <row r="3" spans="1:4" customFormat="1" ht="25.15" customHeight="1">
      <c r="A3" s="18" t="s">
        <v>245</v>
      </c>
    </row>
    <row r="4" spans="1:4" ht="5.65" customHeight="1" thickBot="1">
      <c r="B4" s="21"/>
    </row>
    <row r="5" spans="1:4" s="7" customFormat="1" ht="40.15" customHeight="1" thickBot="1">
      <c r="B5" s="24" t="s">
        <v>5</v>
      </c>
      <c r="C5" s="24" t="s">
        <v>6</v>
      </c>
      <c r="D5" s="25" t="s">
        <v>7</v>
      </c>
    </row>
    <row r="6" spans="1:4" ht="45" customHeight="1">
      <c r="B6" s="22" t="s">
        <v>8</v>
      </c>
      <c r="C6" s="26" t="s">
        <v>9</v>
      </c>
      <c r="D6" s="26" t="s">
        <v>246</v>
      </c>
    </row>
    <row r="7" spans="1:4" ht="45" customHeight="1">
      <c r="B7" s="22" t="s">
        <v>10</v>
      </c>
      <c r="C7" s="26" t="s">
        <v>11</v>
      </c>
      <c r="D7" s="26" t="s">
        <v>247</v>
      </c>
    </row>
    <row r="8" spans="1:4" ht="45" customHeight="1">
      <c r="B8" s="22" t="s">
        <v>12</v>
      </c>
      <c r="C8" s="26" t="s">
        <v>13</v>
      </c>
      <c r="D8" s="26" t="s">
        <v>248</v>
      </c>
    </row>
    <row r="9" spans="1:4" ht="45" customHeight="1">
      <c r="B9" s="22" t="s">
        <v>14</v>
      </c>
      <c r="C9" s="26" t="s">
        <v>15</v>
      </c>
      <c r="D9" s="27" t="s">
        <v>249</v>
      </c>
    </row>
    <row r="10" spans="1:4" ht="63">
      <c r="B10" s="22" t="s">
        <v>16</v>
      </c>
      <c r="C10" s="26" t="s">
        <v>120</v>
      </c>
      <c r="D10" s="26" t="s">
        <v>250</v>
      </c>
    </row>
    <row r="11" spans="1:4" ht="47.25">
      <c r="B11" s="22" t="s">
        <v>17</v>
      </c>
      <c r="C11" s="26" t="s">
        <v>121</v>
      </c>
      <c r="D11" s="26" t="s">
        <v>250</v>
      </c>
    </row>
    <row r="12" spans="1:4" ht="45" customHeight="1">
      <c r="B12" s="22" t="s">
        <v>18</v>
      </c>
      <c r="C12" s="26" t="s">
        <v>224</v>
      </c>
      <c r="D12" s="26" t="s">
        <v>250</v>
      </c>
    </row>
    <row r="13" spans="1:4" ht="45" customHeight="1">
      <c r="B13" s="22" t="s">
        <v>19</v>
      </c>
      <c r="C13" s="26" t="s">
        <v>122</v>
      </c>
      <c r="D13" s="26" t="s">
        <v>250</v>
      </c>
    </row>
    <row r="14" spans="1:4" ht="45" customHeight="1">
      <c r="B14" s="22" t="s">
        <v>273</v>
      </c>
      <c r="C14" s="26" t="s">
        <v>251</v>
      </c>
      <c r="D14" s="26" t="s">
        <v>250</v>
      </c>
    </row>
    <row r="15" spans="1:4">
      <c r="C15" s="9"/>
      <c r="D15" s="9"/>
    </row>
    <row r="16" spans="1:4">
      <c r="C16" s="9"/>
      <c r="D16" s="9"/>
    </row>
    <row r="17" spans="3:4">
      <c r="C17" s="9"/>
      <c r="D17" s="9"/>
    </row>
  </sheetData>
  <hyperlinks>
    <hyperlink ref="B6" location="'Fall 2024 P2 FON Calculation'!C6" display="Base FON " xr:uid="{9D010EC4-85B9-4B47-9080-9B00C03C7E86}"/>
    <hyperlink ref="B7" location="'Fall 2024 P2 FON Calculation'!D6" display="Base Credit FTES" xr:uid="{5F58B314-B3F3-465D-AAD8-4541871407E5}"/>
    <hyperlink ref="B8" location="'Fall 2024 P2 FON Calculation'!E6" display="Funded Credit FTES" xr:uid="{988BA875-322A-4F64-9C3C-8DAB891858D1}"/>
    <hyperlink ref="B9" location="'Fall 2024 P2 FON Calculation'!F6" display="Deficit Factor" xr:uid="{67C9ED0D-382D-49AC-BB76-58E2534D185F}"/>
    <hyperlink ref="B10" location="'Fall 2024 P2 FON Calculation'!G6" display="Funded Credit FTEs adjusted for Deficit Factor" xr:uid="{A65F805C-EB7D-4B5D-8088-026AA4BBC3FE}"/>
    <hyperlink ref="B11" location="'Fall 2024 P2 FON Calculation'!H6" display="Change in FTES Growth/(Decline)" xr:uid="{6A18BA22-43AC-4E1C-8721-34C501672AC7}"/>
    <hyperlink ref="B12" location="'Fall 2024 P2 FON Calculation'!I6" display="Percent Change (Change in FTES/Base Credit FTES)" xr:uid="{43DEC8B1-DCD5-4E59-9DA7-9D2D0492BE5E}"/>
    <hyperlink ref="B13" location="'Fall 2024 P2 FON Calculation'!J6" display="FTES Adjustment" xr:uid="{89CB2204-E54C-47E8-A64F-E8C091CE5ED7}"/>
    <hyperlink ref="B14" location="'Fall 2024 P2 FON Calculation'!K6" display="Fall 2024 P2 FON" xr:uid="{FB8FA7B4-7CF8-483E-8C98-8AAC81A91D37}"/>
  </hyperlinks>
  <pageMargins left="0.7" right="0.7" top="0.75" bottom="0.75" header="0.3" footer="0.3"/>
  <pageSetup scale="66" fitToHeight="0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4E28-2BC5-47B7-9626-042B666D6115}">
  <dimension ref="A1:M84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8.85546875" defaultRowHeight="15"/>
  <cols>
    <col min="1" max="1" width="3.5703125" style="6" customWidth="1"/>
    <col min="2" max="6" width="20.5703125" style="6" customWidth="1"/>
    <col min="7" max="7" width="20.28515625" style="6" customWidth="1"/>
    <col min="8" max="8" width="17.5703125" style="6" customWidth="1"/>
    <col min="9" max="9" width="20.5703125" style="12" customWidth="1"/>
    <col min="10" max="10" width="18.28515625" style="6" customWidth="1"/>
    <col min="11" max="11" width="15.85546875" style="6" customWidth="1"/>
    <col min="12" max="12" width="8.85546875" style="6"/>
    <col min="13" max="13" width="10.7109375" style="6" bestFit="1" customWidth="1"/>
    <col min="14" max="16384" width="8.85546875" style="6"/>
  </cols>
  <sheetData>
    <row r="1" spans="1:13" customFormat="1" ht="25.15" customHeight="1">
      <c r="A1" s="18" t="s">
        <v>0</v>
      </c>
      <c r="B1" s="1"/>
      <c r="C1" s="1"/>
    </row>
    <row r="2" spans="1:13" customFormat="1" ht="25.15" customHeight="1">
      <c r="A2" s="18" t="s">
        <v>2</v>
      </c>
    </row>
    <row r="3" spans="1:13" customFormat="1" ht="25.15" customHeight="1">
      <c r="A3" s="18" t="s">
        <v>252</v>
      </c>
    </row>
    <row r="4" spans="1:13" ht="9" customHeight="1">
      <c r="B4" s="19"/>
      <c r="F4" s="11"/>
    </row>
    <row r="5" spans="1:13" s="14" customFormat="1" ht="42.4" customHeight="1" thickBot="1">
      <c r="B5" s="14" t="s">
        <v>112</v>
      </c>
      <c r="C5" s="17" t="s">
        <v>253</v>
      </c>
      <c r="D5" s="16" t="s">
        <v>260</v>
      </c>
      <c r="E5" s="171" t="s">
        <v>255</v>
      </c>
      <c r="F5" s="171" t="s">
        <v>255</v>
      </c>
      <c r="G5" s="14" t="s">
        <v>113</v>
      </c>
      <c r="H5" s="14" t="s">
        <v>113</v>
      </c>
      <c r="I5" s="15" t="s">
        <v>113</v>
      </c>
      <c r="J5" s="14" t="s">
        <v>113</v>
      </c>
      <c r="K5" s="14" t="s">
        <v>113</v>
      </c>
    </row>
    <row r="6" spans="1:13" s="13" customFormat="1" ht="82.5" customHeight="1" thickBot="1">
      <c r="B6" s="29" t="s">
        <v>20</v>
      </c>
      <c r="C6" s="30" t="s">
        <v>254</v>
      </c>
      <c r="D6" s="30" t="s">
        <v>259</v>
      </c>
      <c r="E6" s="30" t="s">
        <v>256</v>
      </c>
      <c r="F6" s="30" t="s">
        <v>257</v>
      </c>
      <c r="G6" s="30" t="s">
        <v>114</v>
      </c>
      <c r="H6" s="30" t="s">
        <v>111</v>
      </c>
      <c r="I6" s="45" t="s">
        <v>119</v>
      </c>
      <c r="J6" s="30" t="s">
        <v>115</v>
      </c>
      <c r="K6" s="31" t="s">
        <v>258</v>
      </c>
    </row>
    <row r="7" spans="1:13" ht="15.75" thickTop="1">
      <c r="B7" s="46" t="s">
        <v>21</v>
      </c>
      <c r="C7" s="33">
        <v>145.6241</v>
      </c>
      <c r="D7" s="47">
        <v>8333.2099999999991</v>
      </c>
      <c r="E7" s="47">
        <v>8283.0266666666648</v>
      </c>
      <c r="F7" s="48">
        <v>8.7403841504737012E-2</v>
      </c>
      <c r="G7" s="47">
        <f>'Fall 2024 P2 FON Calculation'!$E7*(1-'Fall 2024 P2 FON Calculation'!$F7)</f>
        <v>7559.0583167138211</v>
      </c>
      <c r="H7" s="49">
        <f>G7-D7</f>
        <v>-774.15168328617801</v>
      </c>
      <c r="I7" s="50">
        <f>H7/D7</f>
        <v>-9.2899576908079609E-2</v>
      </c>
      <c r="J7" s="51">
        <f>IF(C7*I7&gt;=0,ROUNDDOWN(C7*I7,0),ROUNDUP(C7*I7,0))</f>
        <v>-14</v>
      </c>
      <c r="K7" s="67">
        <f>'Fall 2024 P2 FON Calculation'!$C7+'Fall 2024 P2 FON Calculation'!$J7</f>
        <v>131.6241</v>
      </c>
      <c r="M7" s="75"/>
    </row>
    <row r="8" spans="1:13">
      <c r="B8" s="52" t="s">
        <v>22</v>
      </c>
      <c r="C8" s="53">
        <v>171.36279999999999</v>
      </c>
      <c r="D8" s="54">
        <v>11074.39</v>
      </c>
      <c r="E8" s="54">
        <v>10785.913333333332</v>
      </c>
      <c r="F8" s="55">
        <v>8.7403836006755165E-2</v>
      </c>
      <c r="G8" s="54">
        <f>'Fall 2024 P2 FON Calculation'!$E8*(1-'Fall 2024 P2 FON Calculation'!$F8)</f>
        <v>9843.1831331635913</v>
      </c>
      <c r="H8" s="56">
        <f t="shared" ref="H8:H71" si="0">G8-D8</f>
        <v>-1231.2068668364082</v>
      </c>
      <c r="I8" s="57">
        <f t="shared" ref="I8:I70" si="1">H8/D8</f>
        <v>-0.11117604372217416</v>
      </c>
      <c r="J8" s="58">
        <f t="shared" ref="J8:J71" si="2">IF(C8*I8&gt;=0,ROUNDDOWN(C8*I8,0),ROUNDUP(C8*I8,0))</f>
        <v>-20</v>
      </c>
      <c r="K8" s="59">
        <f>'Fall 2024 P2 FON Calculation'!$C8+'Fall 2024 P2 FON Calculation'!$J8</f>
        <v>151.36279999999999</v>
      </c>
    </row>
    <row r="9" spans="1:13">
      <c r="B9" s="60" t="s">
        <v>23</v>
      </c>
      <c r="C9" s="61">
        <v>30.333500000000001</v>
      </c>
      <c r="D9" s="62">
        <v>2567.146666666667</v>
      </c>
      <c r="E9" s="62">
        <v>2632.8019691759428</v>
      </c>
      <c r="F9" s="63">
        <v>8.7403852321212394E-2</v>
      </c>
      <c r="G9" s="62">
        <f>'Fall 2024 P2 FON Calculation'!$E9*(1-'Fall 2024 P2 FON Calculation'!$F9)</f>
        <v>2402.6849346710915</v>
      </c>
      <c r="H9" s="64">
        <f t="shared" si="0"/>
        <v>-164.46173199557552</v>
      </c>
      <c r="I9" s="65">
        <f t="shared" si="1"/>
        <v>-6.4064018675303119E-2</v>
      </c>
      <c r="J9" s="66">
        <f t="shared" si="2"/>
        <v>-2</v>
      </c>
      <c r="K9" s="67">
        <f>'Fall 2024 P2 FON Calculation'!$C9+'Fall 2024 P2 FON Calculation'!$J9</f>
        <v>28.333500000000001</v>
      </c>
    </row>
    <row r="10" spans="1:13">
      <c r="B10" s="52" t="s">
        <v>24</v>
      </c>
      <c r="C10" s="53">
        <v>169.45410000000001</v>
      </c>
      <c r="D10" s="54">
        <v>9162</v>
      </c>
      <c r="E10" s="54">
        <v>9162</v>
      </c>
      <c r="F10" s="55">
        <v>8.7403843499895606E-2</v>
      </c>
      <c r="G10" s="54">
        <f>'Fall 2024 P2 FON Calculation'!$E10*(1-'Fall 2024 P2 FON Calculation'!$F10)</f>
        <v>8361.205985853956</v>
      </c>
      <c r="H10" s="56">
        <f t="shared" si="0"/>
        <v>-800.79401414604399</v>
      </c>
      <c r="I10" s="57">
        <f t="shared" si="1"/>
        <v>-8.7403843499895661E-2</v>
      </c>
      <c r="J10" s="58">
        <f t="shared" si="2"/>
        <v>-15</v>
      </c>
      <c r="K10" s="59">
        <f>'Fall 2024 P2 FON Calculation'!$C10+'Fall 2024 P2 FON Calculation'!$J10</f>
        <v>154.45410000000001</v>
      </c>
    </row>
    <row r="11" spans="1:13">
      <c r="B11" s="60" t="s">
        <v>25</v>
      </c>
      <c r="C11" s="61">
        <v>185.76750000000001</v>
      </c>
      <c r="D11" s="62">
        <v>9490.0400000000009</v>
      </c>
      <c r="E11" s="62">
        <v>9490.0400000000009</v>
      </c>
      <c r="F11" s="63">
        <v>8.7403835093201931E-2</v>
      </c>
      <c r="G11" s="62">
        <f>'Fall 2024 P2 FON Calculation'!$E11*(1-'Fall 2024 P2 FON Calculation'!$F11)</f>
        <v>8660.5741088121104</v>
      </c>
      <c r="H11" s="64">
        <f t="shared" si="0"/>
        <v>-829.46589118789052</v>
      </c>
      <c r="I11" s="65">
        <f t="shared" si="1"/>
        <v>-8.7403835093201973E-2</v>
      </c>
      <c r="J11" s="66">
        <f t="shared" si="2"/>
        <v>-17</v>
      </c>
      <c r="K11" s="67">
        <f>'Fall 2024 P2 FON Calculation'!$C11+'Fall 2024 P2 FON Calculation'!$J11</f>
        <v>168.76750000000001</v>
      </c>
    </row>
    <row r="12" spans="1:13">
      <c r="B12" s="52" t="s">
        <v>26</v>
      </c>
      <c r="C12" s="53">
        <v>314.9939</v>
      </c>
      <c r="D12" s="54">
        <v>16902.240000000002</v>
      </c>
      <c r="E12" s="54">
        <v>16704.62</v>
      </c>
      <c r="F12" s="55">
        <v>8.7403839683030116E-2</v>
      </c>
      <c r="G12" s="54">
        <f>'Fall 2024 P2 FON Calculation'!$E12*(1-'Fall 2024 P2 FON Calculation'!$F12)</f>
        <v>15244.572071554061</v>
      </c>
      <c r="H12" s="56">
        <f t="shared" si="0"/>
        <v>-1657.6679284459406</v>
      </c>
      <c r="I12" s="57">
        <f t="shared" si="1"/>
        <v>-9.8073860532446613E-2</v>
      </c>
      <c r="J12" s="58">
        <f t="shared" si="2"/>
        <v>-31</v>
      </c>
      <c r="K12" s="59">
        <f>'Fall 2024 P2 FON Calculation'!$C12+'Fall 2024 P2 FON Calculation'!$J12</f>
        <v>283.9939</v>
      </c>
    </row>
    <row r="13" spans="1:13">
      <c r="B13" s="60" t="s">
        <v>27</v>
      </c>
      <c r="C13" s="61">
        <v>295.96730000000002</v>
      </c>
      <c r="D13" s="62">
        <v>15431.883333333333</v>
      </c>
      <c r="E13" s="62">
        <v>14911.330000000002</v>
      </c>
      <c r="F13" s="63">
        <v>8.7403837007197338E-2</v>
      </c>
      <c r="G13" s="62">
        <f>'Fall 2024 P2 FON Calculation'!$E13*(1-'Fall 2024 P2 FON Calculation'!$F13)</f>
        <v>13608.02254311947</v>
      </c>
      <c r="H13" s="64">
        <f t="shared" si="0"/>
        <v>-1823.8607902138629</v>
      </c>
      <c r="I13" s="65">
        <f t="shared" si="1"/>
        <v>-0.11818782910795265</v>
      </c>
      <c r="J13" s="66">
        <f t="shared" si="2"/>
        <v>-35</v>
      </c>
      <c r="K13" s="67">
        <f>'Fall 2024 P2 FON Calculation'!$C13+'Fall 2024 P2 FON Calculation'!$J13</f>
        <v>260.96730000000002</v>
      </c>
    </row>
    <row r="14" spans="1:13">
      <c r="B14" s="52" t="s">
        <v>28</v>
      </c>
      <c r="C14" s="53">
        <v>266.58510000000001</v>
      </c>
      <c r="D14" s="54">
        <v>16387.538248035769</v>
      </c>
      <c r="E14" s="54">
        <v>16146.803260398787</v>
      </c>
      <c r="F14" s="55">
        <v>8.7403842941272458E-2</v>
      </c>
      <c r="G14" s="54">
        <f>'Fall 2024 P2 FON Calculation'!$E14*(1-'Fall 2024 P2 FON Calculation'!$F14)</f>
        <v>14735.510604223266</v>
      </c>
      <c r="H14" s="56">
        <f t="shared" si="0"/>
        <v>-1652.0276438125038</v>
      </c>
      <c r="I14" s="57">
        <f t="shared" si="1"/>
        <v>-0.10080999469279761</v>
      </c>
      <c r="J14" s="58">
        <f t="shared" si="2"/>
        <v>-27</v>
      </c>
      <c r="K14" s="59">
        <f>'Fall 2024 P2 FON Calculation'!$C14+'Fall 2024 P2 FON Calculation'!$J14</f>
        <v>239.58510000000001</v>
      </c>
    </row>
    <row r="15" spans="1:13">
      <c r="B15" s="60" t="s">
        <v>29</v>
      </c>
      <c r="C15" s="61">
        <v>187.0453</v>
      </c>
      <c r="D15" s="62">
        <v>11136.78</v>
      </c>
      <c r="E15" s="62">
        <v>10628.196666666667</v>
      </c>
      <c r="F15" s="63">
        <v>8.7403843444820883E-2</v>
      </c>
      <c r="G15" s="62">
        <f>'Fall 2024 P2 FON Calculation'!$E15*(1-'Fall 2024 P2 FON Calculation'!$F15)</f>
        <v>9699.2514291125663</v>
      </c>
      <c r="H15" s="64">
        <f t="shared" si="0"/>
        <v>-1437.5285708874344</v>
      </c>
      <c r="I15" s="65">
        <f t="shared" si="1"/>
        <v>-0.12907937221417989</v>
      </c>
      <c r="J15" s="66">
        <f t="shared" si="2"/>
        <v>-25</v>
      </c>
      <c r="K15" s="67">
        <f>'Fall 2024 P2 FON Calculation'!$C15+'Fall 2024 P2 FON Calculation'!$J15</f>
        <v>162.0453</v>
      </c>
    </row>
    <row r="16" spans="1:13">
      <c r="B16" s="52" t="s">
        <v>30</v>
      </c>
      <c r="C16" s="53">
        <v>418.86709999999999</v>
      </c>
      <c r="D16" s="54">
        <v>27972.5</v>
      </c>
      <c r="E16" s="54">
        <v>27365.736666666668</v>
      </c>
      <c r="F16" s="55">
        <v>8.7403838023234481E-2</v>
      </c>
      <c r="G16" s="54">
        <f>'Fall 2024 P2 FON Calculation'!$E16*(1-'Fall 2024 P2 FON Calculation'!$F16)</f>
        <v>24973.866251666845</v>
      </c>
      <c r="H16" s="56">
        <f t="shared" si="0"/>
        <v>-2998.6337483331554</v>
      </c>
      <c r="I16" s="57">
        <f t="shared" si="1"/>
        <v>-0.107199347513921</v>
      </c>
      <c r="J16" s="58">
        <f t="shared" si="2"/>
        <v>-45</v>
      </c>
      <c r="K16" s="59">
        <f>'Fall 2024 P2 FON Calculation'!$C16+'Fall 2024 P2 FON Calculation'!$J16</f>
        <v>373.86709999999999</v>
      </c>
    </row>
    <row r="17" spans="2:11">
      <c r="B17" s="60" t="s">
        <v>31</v>
      </c>
      <c r="C17" s="61">
        <v>34.951000000000001</v>
      </c>
      <c r="D17" s="62">
        <v>5961.69</v>
      </c>
      <c r="E17" s="62">
        <v>5961.4366666666665</v>
      </c>
      <c r="F17" s="63">
        <v>8.7403834402009384E-2</v>
      </c>
      <c r="G17" s="62">
        <f>'Fall 2024 P2 FON Calculation'!$E17*(1-'Fall 2024 P2 FON Calculation'!$F17)</f>
        <v>5440.3842434552662</v>
      </c>
      <c r="H17" s="64">
        <f t="shared" si="0"/>
        <v>-521.30575654473341</v>
      </c>
      <c r="I17" s="65">
        <f t="shared" si="1"/>
        <v>-8.7442613846867828E-2</v>
      </c>
      <c r="J17" s="66">
        <f t="shared" si="2"/>
        <v>-4</v>
      </c>
      <c r="K17" s="67">
        <f>'Fall 2024 P2 FON Calculation'!$C17+'Fall 2024 P2 FON Calculation'!$J17</f>
        <v>30.951000000000001</v>
      </c>
    </row>
    <row r="18" spans="2:11">
      <c r="B18" s="52" t="s">
        <v>32</v>
      </c>
      <c r="C18" s="53">
        <v>413.01979999999998</v>
      </c>
      <c r="D18" s="54">
        <v>28514.599999999995</v>
      </c>
      <c r="E18" s="54">
        <v>27763.943333333329</v>
      </c>
      <c r="F18" s="55">
        <v>8.7403840595572935E-2</v>
      </c>
      <c r="G18" s="54">
        <f>'Fall 2024 P2 FON Calculation'!$E18*(1-'Fall 2024 P2 FON Calculation'!$F18)</f>
        <v>25337.268055922144</v>
      </c>
      <c r="H18" s="56">
        <f t="shared" si="0"/>
        <v>-3177.3319440778505</v>
      </c>
      <c r="I18" s="57">
        <f t="shared" si="1"/>
        <v>-0.11142824882964696</v>
      </c>
      <c r="J18" s="58">
        <f t="shared" si="2"/>
        <v>-47</v>
      </c>
      <c r="K18" s="59">
        <f>'Fall 2024 P2 FON Calculation'!$C18+'Fall 2024 P2 FON Calculation'!$J18</f>
        <v>366.01979999999998</v>
      </c>
    </row>
    <row r="19" spans="2:11">
      <c r="B19" s="60" t="s">
        <v>33</v>
      </c>
      <c r="C19" s="61">
        <v>9.6952999999999996</v>
      </c>
      <c r="D19" s="62">
        <v>1378.84</v>
      </c>
      <c r="E19" s="62">
        <v>1433.57</v>
      </c>
      <c r="F19" s="63">
        <v>8.7403824407034647E-2</v>
      </c>
      <c r="G19" s="62">
        <f>'Fall 2024 P2 FON Calculation'!$E19*(1-'Fall 2024 P2 FON Calculation'!$F19)</f>
        <v>1308.2704994448072</v>
      </c>
      <c r="H19" s="64">
        <f t="shared" si="0"/>
        <v>-70.56950055519269</v>
      </c>
      <c r="I19" s="65">
        <f t="shared" si="1"/>
        <v>-5.1180340398590624E-2</v>
      </c>
      <c r="J19" s="66">
        <f t="shared" si="2"/>
        <v>-1</v>
      </c>
      <c r="K19" s="67">
        <f>'Fall 2024 P2 FON Calculation'!$C19+'Fall 2024 P2 FON Calculation'!$J19</f>
        <v>8.6952999999999996</v>
      </c>
    </row>
    <row r="20" spans="2:11">
      <c r="B20" s="52" t="s">
        <v>34</v>
      </c>
      <c r="C20" s="53">
        <v>140.8176</v>
      </c>
      <c r="D20" s="54">
        <v>8798.51</v>
      </c>
      <c r="E20" s="54">
        <v>8948.5800000000017</v>
      </c>
      <c r="F20" s="55">
        <v>8.7403843136597104E-2</v>
      </c>
      <c r="G20" s="54">
        <f>'Fall 2024 P2 FON Calculation'!$E20*(1-'Fall 2024 P2 FON Calculation'!$F20)</f>
        <v>8166.4397173847119</v>
      </c>
      <c r="H20" s="56">
        <f t="shared" si="0"/>
        <v>-632.07028261528831</v>
      </c>
      <c r="I20" s="57">
        <f t="shared" si="1"/>
        <v>-7.1838332014771619E-2</v>
      </c>
      <c r="J20" s="58">
        <f t="shared" si="2"/>
        <v>-11</v>
      </c>
      <c r="K20" s="59">
        <f>'Fall 2024 P2 FON Calculation'!$C20+'Fall 2024 P2 FON Calculation'!$J20</f>
        <v>129.8176</v>
      </c>
    </row>
    <row r="21" spans="2:11">
      <c r="B21" s="60" t="s">
        <v>35</v>
      </c>
      <c r="C21" s="61">
        <v>361.95920000000001</v>
      </c>
      <c r="D21" s="62">
        <v>18941.57</v>
      </c>
      <c r="E21" s="62">
        <v>18509.916666666668</v>
      </c>
      <c r="F21" s="63">
        <v>8.7403842725762182E-2</v>
      </c>
      <c r="G21" s="62">
        <f>'Fall 2024 P2 FON Calculation'!$E21*(1-'Fall 2024 P2 FON Calculation'!$F21)</f>
        <v>16892.07882146637</v>
      </c>
      <c r="H21" s="64">
        <f t="shared" si="0"/>
        <v>-2049.4911785336299</v>
      </c>
      <c r="I21" s="65">
        <f t="shared" si="1"/>
        <v>-0.10820070239867285</v>
      </c>
      <c r="J21" s="66">
        <f t="shared" si="2"/>
        <v>-40</v>
      </c>
      <c r="K21" s="67">
        <f>'Fall 2024 P2 FON Calculation'!$C21+'Fall 2024 P2 FON Calculation'!$J21</f>
        <v>321.95920000000001</v>
      </c>
    </row>
    <row r="22" spans="2:11">
      <c r="B22" s="52" t="s">
        <v>36</v>
      </c>
      <c r="C22" s="53">
        <v>19.3188</v>
      </c>
      <c r="D22" s="54">
        <v>1638.5099937721566</v>
      </c>
      <c r="E22" s="54">
        <v>1592.7399999999998</v>
      </c>
      <c r="F22" s="55">
        <v>8.7403853361500139E-2</v>
      </c>
      <c r="G22" s="54">
        <f>'Fall 2024 P2 FON Calculation'!$E22*(1-'Fall 2024 P2 FON Calculation'!$F22)</f>
        <v>1453.5283865970041</v>
      </c>
      <c r="H22" s="56">
        <f t="shared" si="0"/>
        <v>-184.98160717515248</v>
      </c>
      <c r="I22" s="57">
        <f t="shared" si="1"/>
        <v>-0.1128962336990635</v>
      </c>
      <c r="J22" s="58">
        <f t="shared" si="2"/>
        <v>-3</v>
      </c>
      <c r="K22" s="59">
        <f>'Fall 2024 P2 FON Calculation'!$C22+'Fall 2024 P2 FON Calculation'!$J22</f>
        <v>16.3188</v>
      </c>
    </row>
    <row r="23" spans="2:11">
      <c r="B23" s="60" t="s">
        <v>37</v>
      </c>
      <c r="C23" s="61">
        <v>380.55779999999999</v>
      </c>
      <c r="D23" s="62">
        <v>21429.153333333335</v>
      </c>
      <c r="E23" s="62">
        <v>20587.213333333333</v>
      </c>
      <c r="F23" s="63">
        <v>8.7403839394497251E-2</v>
      </c>
      <c r="G23" s="62">
        <f>'Fall 2024 P2 FON Calculation'!$E23*(1-'Fall 2024 P2 FON Calculation'!$F23)</f>
        <v>18787.811845566415</v>
      </c>
      <c r="H23" s="64">
        <f t="shared" si="0"/>
        <v>-2641.3414877669202</v>
      </c>
      <c r="I23" s="65">
        <f t="shared" si="1"/>
        <v>-0.12325925558889338</v>
      </c>
      <c r="J23" s="66">
        <f t="shared" si="2"/>
        <v>-47</v>
      </c>
      <c r="K23" s="67">
        <f>'Fall 2024 P2 FON Calculation'!$C23+'Fall 2024 P2 FON Calculation'!$J23</f>
        <v>333.55779999999999</v>
      </c>
    </row>
    <row r="24" spans="2:11">
      <c r="B24" s="52" t="s">
        <v>38</v>
      </c>
      <c r="C24" s="53">
        <v>74.532399999999996</v>
      </c>
      <c r="D24" s="54">
        <v>4574.3100000000004</v>
      </c>
      <c r="E24" s="54">
        <v>4516.6633333333339</v>
      </c>
      <c r="F24" s="55">
        <v>8.7403843563721884E-2</v>
      </c>
      <c r="G24" s="54">
        <f>'Fall 2024 P2 FON Calculation'!$E24*(1-'Fall 2024 P2 FON Calculation'!$F24)</f>
        <v>4121.8895979166682</v>
      </c>
      <c r="H24" s="56">
        <f t="shared" si="0"/>
        <v>-452.42040208333219</v>
      </c>
      <c r="I24" s="57">
        <f t="shared" si="1"/>
        <v>-9.8904622136088749E-2</v>
      </c>
      <c r="J24" s="58">
        <f t="shared" si="2"/>
        <v>-8</v>
      </c>
      <c r="K24" s="59">
        <f>'Fall 2024 P2 FON Calculation'!$C24+'Fall 2024 P2 FON Calculation'!$J24</f>
        <v>66.532399999999996</v>
      </c>
    </row>
    <row r="25" spans="2:11">
      <c r="B25" s="60" t="s">
        <v>39</v>
      </c>
      <c r="C25" s="61">
        <v>226.0789</v>
      </c>
      <c r="D25" s="62">
        <v>11424.190000000002</v>
      </c>
      <c r="E25" s="62">
        <v>10915.455675889683</v>
      </c>
      <c r="F25" s="63">
        <v>8.7403841327881482E-2</v>
      </c>
      <c r="G25" s="62">
        <f>'Fall 2024 P2 FON Calculation'!$E25*(1-'Fall 2024 P2 FON Calculation'!$F25)</f>
        <v>9961.4029199726974</v>
      </c>
      <c r="H25" s="64">
        <f t="shared" si="0"/>
        <v>-1462.7870800273049</v>
      </c>
      <c r="I25" s="65">
        <f t="shared" si="1"/>
        <v>-0.12804295797140144</v>
      </c>
      <c r="J25" s="66">
        <f t="shared" si="2"/>
        <v>-29</v>
      </c>
      <c r="K25" s="67">
        <f>'Fall 2024 P2 FON Calculation'!$C25+'Fall 2024 P2 FON Calculation'!$J25</f>
        <v>197.0789</v>
      </c>
    </row>
    <row r="26" spans="2:11">
      <c r="B26" s="52" t="s">
        <v>40</v>
      </c>
      <c r="C26" s="53">
        <v>302.54349999999999</v>
      </c>
      <c r="D26" s="54">
        <v>17019.310000000001</v>
      </c>
      <c r="E26" s="54">
        <v>16692.899999999998</v>
      </c>
      <c r="F26" s="55">
        <v>8.740384146412461E-2</v>
      </c>
      <c r="G26" s="54">
        <f>'Fall 2024 P2 FON Calculation'!$E26*(1-'Fall 2024 P2 FON Calculation'!$F26)</f>
        <v>15233.876414823513</v>
      </c>
      <c r="H26" s="56">
        <f t="shared" si="0"/>
        <v>-1785.4335851764881</v>
      </c>
      <c r="I26" s="57">
        <f t="shared" si="1"/>
        <v>-0.10490634374580921</v>
      </c>
      <c r="J26" s="58">
        <f t="shared" si="2"/>
        <v>-32</v>
      </c>
      <c r="K26" s="59">
        <f>'Fall 2024 P2 FON Calculation'!$C26+'Fall 2024 P2 FON Calculation'!$J26</f>
        <v>270.54349999999999</v>
      </c>
    </row>
    <row r="27" spans="2:11">
      <c r="B27" s="60" t="s">
        <v>41</v>
      </c>
      <c r="C27" s="61">
        <v>120.95829999999999</v>
      </c>
      <c r="D27" s="62">
        <v>7340.377861470176</v>
      </c>
      <c r="E27" s="62">
        <v>7581.0544144532778</v>
      </c>
      <c r="F27" s="63">
        <v>8.7403836863126139E-2</v>
      </c>
      <c r="G27" s="62">
        <f>'Fall 2024 P2 FON Calculation'!$E27*(1-'Fall 2024 P2 FON Calculation'!$F27)</f>
        <v>6918.4411711619214</v>
      </c>
      <c r="H27" s="64">
        <f t="shared" si="0"/>
        <v>-421.93669030825458</v>
      </c>
      <c r="I27" s="65">
        <f t="shared" si="1"/>
        <v>-5.7481603572891074E-2</v>
      </c>
      <c r="J27" s="66">
        <f t="shared" si="2"/>
        <v>-7</v>
      </c>
      <c r="K27" s="67">
        <f>'Fall 2024 P2 FON Calculation'!$C27+'Fall 2024 P2 FON Calculation'!$J27</f>
        <v>113.95829999999999</v>
      </c>
    </row>
    <row r="28" spans="2:11">
      <c r="B28" s="52" t="s">
        <v>42</v>
      </c>
      <c r="C28" s="53">
        <v>118.06059999999999</v>
      </c>
      <c r="D28" s="54">
        <v>7364.05</v>
      </c>
      <c r="E28" s="54">
        <v>7038.1933333333336</v>
      </c>
      <c r="F28" s="55">
        <v>8.740384445486693E-2</v>
      </c>
      <c r="G28" s="54">
        <f>'Fall 2024 P2 FON Calculation'!$E28*(1-'Fall 2024 P2 FON Calculation'!$F28)</f>
        <v>6423.0281779833858</v>
      </c>
      <c r="H28" s="56">
        <f t="shared" si="0"/>
        <v>-941.02182201661435</v>
      </c>
      <c r="I28" s="57">
        <f t="shared" si="1"/>
        <v>-0.12778590884317928</v>
      </c>
      <c r="J28" s="58">
        <f t="shared" si="2"/>
        <v>-16</v>
      </c>
      <c r="K28" s="59">
        <f>'Fall 2024 P2 FON Calculation'!$C28+'Fall 2024 P2 FON Calculation'!$J28</f>
        <v>102.06059999999999</v>
      </c>
    </row>
    <row r="29" spans="2:11">
      <c r="B29" s="60" t="s">
        <v>43</v>
      </c>
      <c r="C29" s="61">
        <v>521.78919999999994</v>
      </c>
      <c r="D29" s="62">
        <v>23954.250721914123</v>
      </c>
      <c r="E29" s="62">
        <v>23853.181766438025</v>
      </c>
      <c r="F29" s="63">
        <v>8.7403839385938209E-2</v>
      </c>
      <c r="G29" s="62">
        <f>'Fall 2024 P2 FON Calculation'!$E29*(1-'Fall 2024 P2 FON Calculation'!$F29)</f>
        <v>21768.322098480687</v>
      </c>
      <c r="H29" s="64">
        <f t="shared" si="0"/>
        <v>-2185.9286234334359</v>
      </c>
      <c r="I29" s="65">
        <f t="shared" si="1"/>
        <v>-9.1254310093434807E-2</v>
      </c>
      <c r="J29" s="66">
        <f t="shared" si="2"/>
        <v>-48</v>
      </c>
      <c r="K29" s="67">
        <f>'Fall 2024 P2 FON Calculation'!$C29+'Fall 2024 P2 FON Calculation'!$J29</f>
        <v>473.78919999999994</v>
      </c>
    </row>
    <row r="30" spans="2:11">
      <c r="B30" s="52" t="s">
        <v>44</v>
      </c>
      <c r="C30" s="53">
        <v>20.56</v>
      </c>
      <c r="D30" s="54">
        <v>1744.0300873731876</v>
      </c>
      <c r="E30" s="54">
        <v>1811.8797845319912</v>
      </c>
      <c r="F30" s="55">
        <v>8.7403833212537085E-2</v>
      </c>
      <c r="G30" s="54">
        <f>'Fall 2024 P2 FON Calculation'!$E30*(1-'Fall 2024 P2 FON Calculation'!$F30)</f>
        <v>1653.5145460435895</v>
      </c>
      <c r="H30" s="56">
        <f t="shared" si="0"/>
        <v>-90.515541329598136</v>
      </c>
      <c r="I30" s="57">
        <f t="shared" si="1"/>
        <v>-5.1900217768565148E-2</v>
      </c>
      <c r="J30" s="58">
        <f t="shared" si="2"/>
        <v>-2</v>
      </c>
      <c r="K30" s="59">
        <f>'Fall 2024 P2 FON Calculation'!$C30+'Fall 2024 P2 FON Calculation'!$J30</f>
        <v>18.559999999999999</v>
      </c>
    </row>
    <row r="31" spans="2:11">
      <c r="B31" s="60" t="s">
        <v>45</v>
      </c>
      <c r="C31" s="61">
        <v>15.046900000000001</v>
      </c>
      <c r="D31" s="62">
        <v>1372.1366666666665</v>
      </c>
      <c r="E31" s="62">
        <v>1150.2366666666667</v>
      </c>
      <c r="F31" s="63">
        <v>8.7403842426779121E-2</v>
      </c>
      <c r="G31" s="62">
        <f>'Fall 2024 P2 FON Calculation'!$E31*(1-'Fall 2024 P2 FON Calculation'!$F31)</f>
        <v>1049.7015622998297</v>
      </c>
      <c r="H31" s="64">
        <f t="shared" si="0"/>
        <v>-322.43510436683687</v>
      </c>
      <c r="I31" s="65">
        <f t="shared" si="1"/>
        <v>-0.23498760159957602</v>
      </c>
      <c r="J31" s="66">
        <f t="shared" si="2"/>
        <v>-4</v>
      </c>
      <c r="K31" s="67">
        <f>'Fall 2024 P2 FON Calculation'!$C31+'Fall 2024 P2 FON Calculation'!$J31</f>
        <v>11.046900000000001</v>
      </c>
    </row>
    <row r="32" spans="2:11">
      <c r="B32" s="52" t="s">
        <v>46</v>
      </c>
      <c r="C32" s="53">
        <v>371.959</v>
      </c>
      <c r="D32" s="54">
        <v>19393.689999999999</v>
      </c>
      <c r="E32" s="54">
        <v>19524.646666666667</v>
      </c>
      <c r="F32" s="55">
        <v>8.7403838317384852E-2</v>
      </c>
      <c r="G32" s="54">
        <f>'Fall 2024 P2 FON Calculation'!$E32*(1-'Fall 2024 P2 FON Calculation'!$F32)</f>
        <v>17818.117606209267</v>
      </c>
      <c r="H32" s="56">
        <f t="shared" si="0"/>
        <v>-1575.5723937907314</v>
      </c>
      <c r="I32" s="57">
        <f t="shared" si="1"/>
        <v>-8.1241496269700689E-2</v>
      </c>
      <c r="J32" s="58">
        <f t="shared" si="2"/>
        <v>-31</v>
      </c>
      <c r="K32" s="59">
        <f>'Fall 2024 P2 FON Calculation'!$C32+'Fall 2024 P2 FON Calculation'!$J32</f>
        <v>340.959</v>
      </c>
    </row>
    <row r="33" spans="2:11">
      <c r="B33" s="60" t="s">
        <v>47</v>
      </c>
      <c r="C33" s="61">
        <v>1648.7841000000001</v>
      </c>
      <c r="D33" s="62">
        <v>91508.81</v>
      </c>
      <c r="E33" s="62">
        <v>90178.549999999988</v>
      </c>
      <c r="F33" s="63">
        <v>8.7403839227420677E-2</v>
      </c>
      <c r="G33" s="62">
        <f>'Fall 2024 P2 FON Calculation'!$E33*(1-'Fall 2024 P2 FON Calculation'!$F33)</f>
        <v>82296.598514038065</v>
      </c>
      <c r="H33" s="64">
        <f t="shared" si="0"/>
        <v>-9212.2114859619323</v>
      </c>
      <c r="I33" s="65">
        <f t="shared" si="1"/>
        <v>-0.10067021400411537</v>
      </c>
      <c r="J33" s="66">
        <f t="shared" si="2"/>
        <v>-166</v>
      </c>
      <c r="K33" s="67">
        <f>'Fall 2024 P2 FON Calculation'!$C33+'Fall 2024 P2 FON Calculation'!$J33</f>
        <v>1482.7841000000001</v>
      </c>
    </row>
    <row r="34" spans="2:11">
      <c r="B34" s="52" t="s">
        <v>48</v>
      </c>
      <c r="C34" s="53">
        <v>927.10069999999996</v>
      </c>
      <c r="D34" s="54">
        <v>45225.123333333337</v>
      </c>
      <c r="E34" s="54">
        <v>44989.15514027451</v>
      </c>
      <c r="F34" s="55">
        <v>8.7403839113511905E-2</v>
      </c>
      <c r="G34" s="54">
        <f>'Fall 2024 P2 FON Calculation'!$E34*(1-'Fall 2024 P2 FON Calculation'!$F34)</f>
        <v>41056.930262541129</v>
      </c>
      <c r="H34" s="56">
        <f t="shared" si="0"/>
        <v>-4168.1930707922074</v>
      </c>
      <c r="I34" s="57">
        <f t="shared" si="1"/>
        <v>-9.2165432918123763E-2</v>
      </c>
      <c r="J34" s="58">
        <f t="shared" si="2"/>
        <v>-86</v>
      </c>
      <c r="K34" s="59">
        <f>'Fall 2024 P2 FON Calculation'!$C34+'Fall 2024 P2 FON Calculation'!$J34</f>
        <v>841.10069999999996</v>
      </c>
    </row>
    <row r="35" spans="2:11">
      <c r="B35" s="60" t="s">
        <v>49</v>
      </c>
      <c r="C35" s="61">
        <v>55.504600000000003</v>
      </c>
      <c r="D35" s="62">
        <v>2967.6866666666665</v>
      </c>
      <c r="E35" s="62">
        <v>2983.6090801565138</v>
      </c>
      <c r="F35" s="63">
        <v>8.7403999999999996E-2</v>
      </c>
      <c r="G35" s="62">
        <f>'Fall 2024 P2 FON Calculation'!$E35*(1-'Fall 2024 P2 FON Calculation'!$F35)</f>
        <v>2722.8297121145138</v>
      </c>
      <c r="H35" s="64">
        <f t="shared" si="0"/>
        <v>-244.85695455215273</v>
      </c>
      <c r="I35" s="65">
        <f t="shared" si="1"/>
        <v>-8.2507684285679103E-2</v>
      </c>
      <c r="J35" s="66">
        <f t="shared" si="2"/>
        <v>-5</v>
      </c>
      <c r="K35" s="67">
        <f>'Fall 2024 P2 FON Calculation'!$C35+'Fall 2024 P2 FON Calculation'!$J35</f>
        <v>50.504600000000003</v>
      </c>
    </row>
    <row r="36" spans="2:11">
      <c r="B36" s="52" t="s">
        <v>50</v>
      </c>
      <c r="C36" s="53">
        <v>46.740099999999998</v>
      </c>
      <c r="D36" s="54">
        <v>3011.64</v>
      </c>
      <c r="E36" s="54">
        <v>2787.563333333333</v>
      </c>
      <c r="F36" s="55">
        <v>8.7403847451470895E-2</v>
      </c>
      <c r="G36" s="54">
        <f>'Fall 2024 P2 FON Calculation'!$E36*(1-'Fall 2024 P2 FON Calculation'!$F36)</f>
        <v>2543.9195729853527</v>
      </c>
      <c r="H36" s="56">
        <f t="shared" si="0"/>
        <v>-467.72042701464716</v>
      </c>
      <c r="I36" s="57">
        <f t="shared" si="1"/>
        <v>-0.15530422859792245</v>
      </c>
      <c r="J36" s="58">
        <f t="shared" si="2"/>
        <v>-8</v>
      </c>
      <c r="K36" s="59">
        <f>'Fall 2024 P2 FON Calculation'!$C36+'Fall 2024 P2 FON Calculation'!$J36</f>
        <v>38.740099999999998</v>
      </c>
    </row>
    <row r="37" spans="2:11">
      <c r="B37" s="60" t="s">
        <v>51</v>
      </c>
      <c r="C37" s="61">
        <v>191.74430000000001</v>
      </c>
      <c r="D37" s="62">
        <v>8822.3919105115783</v>
      </c>
      <c r="E37" s="62">
        <v>9436.1011497544823</v>
      </c>
      <c r="F37" s="63">
        <v>8.7403845238276379E-2</v>
      </c>
      <c r="G37" s="62">
        <f>'Fall 2024 P2 FON Calculation'!$E37*(1-'Fall 2024 P2 FON Calculation'!$F37)</f>
        <v>8611.3496252086206</v>
      </c>
      <c r="H37" s="64">
        <f t="shared" si="0"/>
        <v>-211.04228530295768</v>
      </c>
      <c r="I37" s="65">
        <f t="shared" si="1"/>
        <v>-2.3921209513658989E-2</v>
      </c>
      <c r="J37" s="66">
        <f t="shared" si="2"/>
        <v>-5</v>
      </c>
      <c r="K37" s="67">
        <f>'Fall 2024 P2 FON Calculation'!$C37+'Fall 2024 P2 FON Calculation'!$J37</f>
        <v>186.74430000000001</v>
      </c>
    </row>
    <row r="38" spans="2:11">
      <c r="B38" s="52" t="s">
        <v>52</v>
      </c>
      <c r="C38" s="53">
        <v>165.2406</v>
      </c>
      <c r="D38" s="54">
        <v>9606.68</v>
      </c>
      <c r="E38" s="54">
        <v>9198.2100000000009</v>
      </c>
      <c r="F38" s="55">
        <v>8.7403999999999996E-2</v>
      </c>
      <c r="G38" s="54">
        <f>'Fall 2024 P2 FON Calculation'!$E38*(1-'Fall 2024 P2 FON Calculation'!$F38)</f>
        <v>8394.2496531600009</v>
      </c>
      <c r="H38" s="56">
        <f t="shared" si="0"/>
        <v>-1212.4303468399994</v>
      </c>
      <c r="I38" s="57">
        <f t="shared" si="1"/>
        <v>-0.12620700875224317</v>
      </c>
      <c r="J38" s="58">
        <f t="shared" si="2"/>
        <v>-21</v>
      </c>
      <c r="K38" s="59">
        <f>'Fall 2024 P2 FON Calculation'!$C38+'Fall 2024 P2 FON Calculation'!$J38</f>
        <v>144.2406</v>
      </c>
    </row>
    <row r="39" spans="2:11">
      <c r="B39" s="60" t="s">
        <v>53</v>
      </c>
      <c r="C39" s="61">
        <v>117.68680000000001</v>
      </c>
      <c r="D39" s="62">
        <v>5882.0166666666673</v>
      </c>
      <c r="E39" s="62">
        <v>5560.67</v>
      </c>
      <c r="F39" s="63">
        <v>8.7403841500332313E-2</v>
      </c>
      <c r="G39" s="62">
        <f>'Fall 2024 P2 FON Calculation'!$E39*(1-'Fall 2024 P2 FON Calculation'!$F39)</f>
        <v>5074.646080684347</v>
      </c>
      <c r="H39" s="64">
        <f t="shared" si="0"/>
        <v>-807.37058598232034</v>
      </c>
      <c r="I39" s="65">
        <f t="shared" si="1"/>
        <v>-0.1372608463620448</v>
      </c>
      <c r="J39" s="66">
        <f t="shared" si="2"/>
        <v>-17</v>
      </c>
      <c r="K39" s="67">
        <f>'Fall 2024 P2 FON Calculation'!$C39+'Fall 2024 P2 FON Calculation'!$J39</f>
        <v>100.68680000000001</v>
      </c>
    </row>
    <row r="40" spans="2:11">
      <c r="B40" s="52" t="s">
        <v>54</v>
      </c>
      <c r="C40" s="53">
        <v>471.09750000000003</v>
      </c>
      <c r="D40" s="54">
        <v>24775.33</v>
      </c>
      <c r="E40" s="54">
        <v>24410.226666666669</v>
      </c>
      <c r="F40" s="55">
        <v>8.7403841330798149E-2</v>
      </c>
      <c r="G40" s="54">
        <f>'Fall 2024 P2 FON Calculation'!$E40*(1-'Fall 2024 P2 FON Calculation'!$F40)</f>
        <v>22276.679088244517</v>
      </c>
      <c r="H40" s="56">
        <f t="shared" si="0"/>
        <v>-2498.6509117554851</v>
      </c>
      <c r="I40" s="57">
        <f t="shared" si="1"/>
        <v>-0.10085237660832308</v>
      </c>
      <c r="J40" s="58">
        <f t="shared" si="2"/>
        <v>-48</v>
      </c>
      <c r="K40" s="59">
        <f>'Fall 2024 P2 FON Calculation'!$C40+'Fall 2024 P2 FON Calculation'!$J40</f>
        <v>423.09750000000003</v>
      </c>
    </row>
    <row r="41" spans="2:11">
      <c r="B41" s="60" t="s">
        <v>55</v>
      </c>
      <c r="C41" s="61">
        <v>171.57810000000001</v>
      </c>
      <c r="D41" s="62">
        <v>11703.709999999997</v>
      </c>
      <c r="E41" s="62">
        <v>12164.842578700382</v>
      </c>
      <c r="F41" s="63">
        <v>8.7403843879118814E-2</v>
      </c>
      <c r="G41" s="62">
        <f>'Fall 2024 P2 FON Calculation'!$E41*(1-'Fall 2024 P2 FON Calculation'!$F41)</f>
        <v>11101.588577137596</v>
      </c>
      <c r="H41" s="64">
        <f t="shared" si="0"/>
        <v>-602.12142286240123</v>
      </c>
      <c r="I41" s="65">
        <f t="shared" si="1"/>
        <v>-5.1447055921789019E-2</v>
      </c>
      <c r="J41" s="66">
        <f t="shared" si="2"/>
        <v>-9</v>
      </c>
      <c r="K41" s="67">
        <f>'Fall 2024 P2 FON Calculation'!$C41+'Fall 2024 P2 FON Calculation'!$J41</f>
        <v>162.57810000000001</v>
      </c>
    </row>
    <row r="42" spans="2:11">
      <c r="B42" s="52" t="s">
        <v>56</v>
      </c>
      <c r="C42" s="53">
        <v>74.383899999999997</v>
      </c>
      <c r="D42" s="54">
        <v>3917.9966666666674</v>
      </c>
      <c r="E42" s="54">
        <v>3532.4766666666674</v>
      </c>
      <c r="F42" s="55">
        <v>8.7403999999999996E-2</v>
      </c>
      <c r="G42" s="54">
        <f>'Fall 2024 P2 FON Calculation'!$E42*(1-'Fall 2024 P2 FON Calculation'!$F42)</f>
        <v>3223.7240760933337</v>
      </c>
      <c r="H42" s="56">
        <f t="shared" si="0"/>
        <v>-694.27259057333367</v>
      </c>
      <c r="I42" s="57">
        <f t="shared" si="1"/>
        <v>-0.17720091404876137</v>
      </c>
      <c r="J42" s="58">
        <f t="shared" si="2"/>
        <v>-14</v>
      </c>
      <c r="K42" s="59">
        <f>'Fall 2024 P2 FON Calculation'!$C42+'Fall 2024 P2 FON Calculation'!$J42</f>
        <v>60.383899999999997</v>
      </c>
    </row>
    <row r="43" spans="2:11">
      <c r="B43" s="60" t="s">
        <v>57</v>
      </c>
      <c r="C43" s="61">
        <v>570.17700000000002</v>
      </c>
      <c r="D43" s="62">
        <v>28588.01</v>
      </c>
      <c r="E43" s="62">
        <v>27545.963333333333</v>
      </c>
      <c r="F43" s="63">
        <v>8.7403837938042073E-2</v>
      </c>
      <c r="G43" s="62">
        <f>'Fall 2024 P2 FON Calculation'!$E43*(1-'Fall 2024 P2 FON Calculation'!$F43)</f>
        <v>25138.340418299416</v>
      </c>
      <c r="H43" s="64">
        <f t="shared" si="0"/>
        <v>-3449.6695817005821</v>
      </c>
      <c r="I43" s="65">
        <f t="shared" si="1"/>
        <v>-0.12066840545041722</v>
      </c>
      <c r="J43" s="66">
        <f t="shared" si="2"/>
        <v>-69</v>
      </c>
      <c r="K43" s="67">
        <f>'Fall 2024 P2 FON Calculation'!$C43+'Fall 2024 P2 FON Calculation'!$J43</f>
        <v>501.17700000000002</v>
      </c>
    </row>
    <row r="44" spans="2:11">
      <c r="B44" s="52" t="s">
        <v>58</v>
      </c>
      <c r="C44" s="53">
        <v>112.6443</v>
      </c>
      <c r="D44" s="54">
        <v>7057.6033333333326</v>
      </c>
      <c r="E44" s="54">
        <v>6561.6166666666668</v>
      </c>
      <c r="F44" s="55">
        <v>8.7403844696168798E-2</v>
      </c>
      <c r="G44" s="54">
        <f>'Fall 2024 P2 FON Calculation'!$E44*(1-'Fall 2024 P2 FON Calculation'!$F44)</f>
        <v>5988.1061425775406</v>
      </c>
      <c r="H44" s="56">
        <f t="shared" si="0"/>
        <v>-1069.497190755792</v>
      </c>
      <c r="I44" s="57">
        <f t="shared" si="1"/>
        <v>-0.15153829710215017</v>
      </c>
      <c r="J44" s="58">
        <f t="shared" si="2"/>
        <v>-18</v>
      </c>
      <c r="K44" s="59">
        <f>'Fall 2024 P2 FON Calculation'!$C44+'Fall 2024 P2 FON Calculation'!$J44</f>
        <v>94.644300000000001</v>
      </c>
    </row>
    <row r="45" spans="2:11">
      <c r="B45" s="60" t="s">
        <v>59</v>
      </c>
      <c r="C45" s="61">
        <v>29.435300000000002</v>
      </c>
      <c r="D45" s="62">
        <v>2312.8852593681218</v>
      </c>
      <c r="E45" s="62">
        <v>2427.6758622333118</v>
      </c>
      <c r="F45" s="63">
        <v>8.7403830682843187E-2</v>
      </c>
      <c r="G45" s="62">
        <f>'Fall 2024 P2 FON Calculation'!$E45*(1-'Fall 2024 P2 FON Calculation'!$F45)</f>
        <v>2215.487692217846</v>
      </c>
      <c r="H45" s="64">
        <f t="shared" si="0"/>
        <v>-97.39756715027579</v>
      </c>
      <c r="I45" s="65">
        <f t="shared" si="1"/>
        <v>-4.2110851265005994E-2</v>
      </c>
      <c r="J45" s="66">
        <f t="shared" si="2"/>
        <v>-2</v>
      </c>
      <c r="K45" s="67">
        <f>'Fall 2024 P2 FON Calculation'!$C45+'Fall 2024 P2 FON Calculation'!$J45</f>
        <v>27.435300000000002</v>
      </c>
    </row>
    <row r="46" spans="2:11">
      <c r="B46" s="52" t="s">
        <v>60</v>
      </c>
      <c r="C46" s="53">
        <v>304.1318</v>
      </c>
      <c r="D46" s="54">
        <v>17645.240000000002</v>
      </c>
      <c r="E46" s="54">
        <v>16314.583333333336</v>
      </c>
      <c r="F46" s="55">
        <v>8.7403836929756173E-2</v>
      </c>
      <c r="G46" s="54">
        <f>'Fall 2024 P2 FON Calculation'!$E46*(1-'Fall 2024 P2 FON Calculation'!$F46)</f>
        <v>14888.626152089751</v>
      </c>
      <c r="H46" s="56">
        <f t="shared" si="0"/>
        <v>-2756.6138479102501</v>
      </c>
      <c r="I46" s="57">
        <f t="shared" si="1"/>
        <v>-0.15622421955780991</v>
      </c>
      <c r="J46" s="58">
        <f t="shared" si="2"/>
        <v>-48</v>
      </c>
      <c r="K46" s="59">
        <f>'Fall 2024 P2 FON Calculation'!$C46+'Fall 2024 P2 FON Calculation'!$J46</f>
        <v>256.1318</v>
      </c>
    </row>
    <row r="47" spans="2:11">
      <c r="B47" s="60" t="s">
        <v>61</v>
      </c>
      <c r="C47" s="61">
        <v>467.36059999999998</v>
      </c>
      <c r="D47" s="62">
        <v>22828.7</v>
      </c>
      <c r="E47" s="62">
        <v>21803.243333333336</v>
      </c>
      <c r="F47" s="63">
        <v>8.7403841076051147E-2</v>
      </c>
      <c r="G47" s="62">
        <f>'Fall 2024 P2 FON Calculation'!$E47*(1-'Fall 2024 P2 FON Calculation'!$F47)</f>
        <v>19897.556118084198</v>
      </c>
      <c r="H47" s="64">
        <f t="shared" si="0"/>
        <v>-2931.1438819158029</v>
      </c>
      <c r="I47" s="65">
        <f t="shared" si="1"/>
        <v>-0.12839731924795555</v>
      </c>
      <c r="J47" s="66">
        <f t="shared" si="2"/>
        <v>-61</v>
      </c>
      <c r="K47" s="67">
        <f>'Fall 2024 P2 FON Calculation'!$C47+'Fall 2024 P2 FON Calculation'!$J47</f>
        <v>406.36059999999998</v>
      </c>
    </row>
    <row r="48" spans="2:11">
      <c r="B48" s="52" t="s">
        <v>62</v>
      </c>
      <c r="C48" s="53">
        <v>293.85899999999998</v>
      </c>
      <c r="D48" s="54">
        <v>15422.29</v>
      </c>
      <c r="E48" s="54">
        <v>15305.053333333333</v>
      </c>
      <c r="F48" s="55">
        <v>8.740383967069798E-2</v>
      </c>
      <c r="G48" s="54">
        <f>'Fall 2024 P2 FON Calculation'!$E48*(1-'Fall 2024 P2 FON Calculation'!$F48)</f>
        <v>13967.332905635185</v>
      </c>
      <c r="H48" s="56">
        <f t="shared" si="0"/>
        <v>-1454.9570943648159</v>
      </c>
      <c r="I48" s="57">
        <f t="shared" si="1"/>
        <v>-9.4341183725945743E-2</v>
      </c>
      <c r="J48" s="58">
        <f t="shared" si="2"/>
        <v>-28</v>
      </c>
      <c r="K48" s="59">
        <f>'Fall 2024 P2 FON Calculation'!$C48+'Fall 2024 P2 FON Calculation'!$J48</f>
        <v>265.85899999999998</v>
      </c>
    </row>
    <row r="49" spans="2:11">
      <c r="B49" s="60" t="s">
        <v>63</v>
      </c>
      <c r="C49" s="61">
        <v>352.36529999999999</v>
      </c>
      <c r="D49" s="62">
        <v>19589.906666666669</v>
      </c>
      <c r="E49" s="62">
        <v>19738.777473877632</v>
      </c>
      <c r="F49" s="63">
        <v>8.7403838516083909E-2</v>
      </c>
      <c r="G49" s="62">
        <f>'Fall 2024 P2 FON Calculation'!$E49*(1-'Fall 2024 P2 FON Calculation'!$F49)</f>
        <v>18013.532555045917</v>
      </c>
      <c r="H49" s="64">
        <f t="shared" si="0"/>
        <v>-1576.374111620753</v>
      </c>
      <c r="I49" s="65">
        <f t="shared" si="1"/>
        <v>-8.0468689230819179E-2</v>
      </c>
      <c r="J49" s="66">
        <f t="shared" si="2"/>
        <v>-29</v>
      </c>
      <c r="K49" s="67">
        <f>'Fall 2024 P2 FON Calculation'!$C49+'Fall 2024 P2 FON Calculation'!$J49</f>
        <v>323.36529999999999</v>
      </c>
    </row>
    <row r="50" spans="2:11">
      <c r="B50" s="52" t="s">
        <v>64</v>
      </c>
      <c r="C50" s="53">
        <v>65.157499999999999</v>
      </c>
      <c r="D50" s="54">
        <v>3643.7899999999995</v>
      </c>
      <c r="E50" s="54">
        <v>3511.3833333333332</v>
      </c>
      <c r="F50" s="55">
        <v>8.7403837181118438E-2</v>
      </c>
      <c r="G50" s="54">
        <f>'Fall 2024 P2 FON Calculation'!$E50*(1-'Fall 2024 P2 FON Calculation'!$F50)</f>
        <v>3204.4749561861736</v>
      </c>
      <c r="H50" s="56">
        <f t="shared" si="0"/>
        <v>-439.31504381382592</v>
      </c>
      <c r="I50" s="57">
        <f t="shared" si="1"/>
        <v>-0.12056541233546005</v>
      </c>
      <c r="J50" s="58">
        <f t="shared" si="2"/>
        <v>-8</v>
      </c>
      <c r="K50" s="59">
        <f>'Fall 2024 P2 FON Calculation'!$C50+'Fall 2024 P2 FON Calculation'!$J50</f>
        <v>57.157499999999999</v>
      </c>
    </row>
    <row r="51" spans="2:11">
      <c r="B51" s="60" t="s">
        <v>65</v>
      </c>
      <c r="C51" s="61">
        <v>238.8244</v>
      </c>
      <c r="D51" s="62">
        <v>12748.15</v>
      </c>
      <c r="E51" s="62">
        <v>12034.47</v>
      </c>
      <c r="F51" s="63">
        <v>8.740384019209535E-2</v>
      </c>
      <c r="G51" s="62">
        <f>'Fall 2024 P2 FON Calculation'!$E51*(1-'Fall 2024 P2 FON Calculation'!$F51)</f>
        <v>10982.611107323433</v>
      </c>
      <c r="H51" s="64">
        <f t="shared" si="0"/>
        <v>-1765.5388926765663</v>
      </c>
      <c r="I51" s="65">
        <f t="shared" si="1"/>
        <v>-0.13849373381051888</v>
      </c>
      <c r="J51" s="66">
        <f t="shared" si="2"/>
        <v>-34</v>
      </c>
      <c r="K51" s="67">
        <f>'Fall 2024 P2 FON Calculation'!$C51+'Fall 2024 P2 FON Calculation'!$J51</f>
        <v>204.8244</v>
      </c>
    </row>
    <row r="52" spans="2:11">
      <c r="B52" s="52" t="s">
        <v>66</v>
      </c>
      <c r="C52" s="53">
        <v>474.35449999999997</v>
      </c>
      <c r="D52" s="54">
        <v>30428.134889849149</v>
      </c>
      <c r="E52" s="54">
        <v>30728.763259899435</v>
      </c>
      <c r="F52" s="55">
        <v>8.7403840852056991E-2</v>
      </c>
      <c r="G52" s="54">
        <f>'Fall 2024 P2 FON Calculation'!$E52*(1-'Fall 2024 P2 FON Calculation'!$F52)</f>
        <v>28042.951326350649</v>
      </c>
      <c r="H52" s="56">
        <f t="shared" si="0"/>
        <v>-2385.1835634985</v>
      </c>
      <c r="I52" s="57">
        <f t="shared" si="1"/>
        <v>-7.8387438866461684E-2</v>
      </c>
      <c r="J52" s="58">
        <f t="shared" si="2"/>
        <v>-38</v>
      </c>
      <c r="K52" s="59">
        <f>'Fall 2024 P2 FON Calculation'!$C52+'Fall 2024 P2 FON Calculation'!$J52</f>
        <v>436.35449999999997</v>
      </c>
    </row>
    <row r="53" spans="2:11">
      <c r="B53" s="60" t="s">
        <v>67</v>
      </c>
      <c r="C53" s="61">
        <v>249.38229999999999</v>
      </c>
      <c r="D53" s="62">
        <v>14503.901512539165</v>
      </c>
      <c r="E53" s="62">
        <v>14630.471512539165</v>
      </c>
      <c r="F53" s="63">
        <v>8.7403841942353622E-2</v>
      </c>
      <c r="G53" s="62">
        <f>'Fall 2024 P2 FON Calculation'!$E53*(1-'Fall 2024 P2 FON Calculation'!$F53)</f>
        <v>13351.712092915084</v>
      </c>
      <c r="H53" s="64">
        <f t="shared" si="0"/>
        <v>-1152.189419624081</v>
      </c>
      <c r="I53" s="65">
        <f t="shared" si="1"/>
        <v>-7.9439964386683826E-2</v>
      </c>
      <c r="J53" s="66">
        <f t="shared" si="2"/>
        <v>-20</v>
      </c>
      <c r="K53" s="67">
        <f>'Fall 2024 P2 FON Calculation'!$C53+'Fall 2024 P2 FON Calculation'!$J53</f>
        <v>229.38229999999999</v>
      </c>
    </row>
    <row r="54" spans="2:11">
      <c r="B54" s="52" t="s">
        <v>68</v>
      </c>
      <c r="C54" s="53">
        <v>549.00289999999995</v>
      </c>
      <c r="D54" s="54">
        <v>31016.780000000002</v>
      </c>
      <c r="E54" s="54">
        <v>30079.862603786274</v>
      </c>
      <c r="F54" s="55">
        <v>8.7403840493781249E-2</v>
      </c>
      <c r="G54" s="54">
        <f>'Fall 2024 P2 FON Calculation'!$E54*(1-'Fall 2024 P2 FON Calculation'!$F54)</f>
        <v>27450.767090690082</v>
      </c>
      <c r="H54" s="56">
        <f t="shared" si="0"/>
        <v>-3566.0129093099204</v>
      </c>
      <c r="I54" s="57">
        <f t="shared" si="1"/>
        <v>-0.11497044210617349</v>
      </c>
      <c r="J54" s="58">
        <f t="shared" si="2"/>
        <v>-64</v>
      </c>
      <c r="K54" s="59">
        <f>'Fall 2024 P2 FON Calculation'!$C54+'Fall 2024 P2 FON Calculation'!$J54</f>
        <v>485.00289999999995</v>
      </c>
    </row>
    <row r="55" spans="2:11">
      <c r="B55" s="60" t="s">
        <v>69</v>
      </c>
      <c r="C55" s="61">
        <v>184.06739999999999</v>
      </c>
      <c r="D55" s="62">
        <v>13216.506666666668</v>
      </c>
      <c r="E55" s="62">
        <v>11940.813333333334</v>
      </c>
      <c r="F55" s="63">
        <v>8.7403841785887115E-2</v>
      </c>
      <c r="G55" s="62">
        <f>'Fall 2024 P2 FON Calculation'!$E55*(1-'Fall 2024 P2 FON Calculation'!$F55)</f>
        <v>10897.140373951856</v>
      </c>
      <c r="H55" s="64">
        <f t="shared" si="0"/>
        <v>-2319.3662927148125</v>
      </c>
      <c r="I55" s="65">
        <f t="shared" si="1"/>
        <v>-0.17549011635309675</v>
      </c>
      <c r="J55" s="66">
        <f t="shared" si="2"/>
        <v>-33</v>
      </c>
      <c r="K55" s="67">
        <f>'Fall 2024 P2 FON Calculation'!$C55+'Fall 2024 P2 FON Calculation'!$J55</f>
        <v>151.06739999999999</v>
      </c>
    </row>
    <row r="56" spans="2:11">
      <c r="B56" s="52" t="s">
        <v>70</v>
      </c>
      <c r="C56" s="53">
        <v>263.05119999999999</v>
      </c>
      <c r="D56" s="54">
        <v>16281.518267414607</v>
      </c>
      <c r="E56" s="54">
        <v>16300.842178276405</v>
      </c>
      <c r="F56" s="55">
        <v>8.7403840065493066E-2</v>
      </c>
      <c r="G56" s="54">
        <f>'Fall 2024 P2 FON Calculation'!$E56*(1-'Fall 2024 P2 FON Calculation'!$F56)</f>
        <v>14876.085975593491</v>
      </c>
      <c r="H56" s="56">
        <f t="shared" si="0"/>
        <v>-1405.4322918211165</v>
      </c>
      <c r="I56" s="57">
        <f t="shared" si="1"/>
        <v>-8.6320714612586891E-2</v>
      </c>
      <c r="J56" s="58">
        <f t="shared" si="2"/>
        <v>-23</v>
      </c>
      <c r="K56" s="59">
        <f>'Fall 2024 P2 FON Calculation'!$C56+'Fall 2024 P2 FON Calculation'!$J56</f>
        <v>240.05119999999999</v>
      </c>
    </row>
    <row r="57" spans="2:11">
      <c r="B57" s="60" t="s">
        <v>71</v>
      </c>
      <c r="C57" s="61">
        <v>197.82929999999999</v>
      </c>
      <c r="D57" s="62">
        <v>11447.483333333332</v>
      </c>
      <c r="E57" s="62">
        <v>10608.210000000001</v>
      </c>
      <c r="F57" s="63">
        <v>8.7403999999999996E-2</v>
      </c>
      <c r="G57" s="62">
        <f>'Fall 2024 P2 FON Calculation'!$E57*(1-'Fall 2024 P2 FON Calculation'!$F57)</f>
        <v>9681.0100131600011</v>
      </c>
      <c r="H57" s="64">
        <f t="shared" si="0"/>
        <v>-1766.4733201733306</v>
      </c>
      <c r="I57" s="65">
        <f t="shared" si="1"/>
        <v>-0.1543110628542807</v>
      </c>
      <c r="J57" s="66">
        <f t="shared" si="2"/>
        <v>-31</v>
      </c>
      <c r="K57" s="67">
        <f>'Fall 2024 P2 FON Calculation'!$C57+'Fall 2024 P2 FON Calculation'!$J57</f>
        <v>166.82929999999999</v>
      </c>
    </row>
    <row r="58" spans="2:11">
      <c r="B58" s="52" t="s">
        <v>72</v>
      </c>
      <c r="C58" s="53">
        <v>133.1765</v>
      </c>
      <c r="D58" s="54">
        <v>7617.05</v>
      </c>
      <c r="E58" s="54">
        <v>7596.9166666666661</v>
      </c>
      <c r="F58" s="55">
        <v>8.740383392631268E-2</v>
      </c>
      <c r="G58" s="54">
        <f>'Fall 2024 P2 FON Calculation'!$E58*(1-'Fall 2024 P2 FON Calculation'!$F58)</f>
        <v>6932.9170239812956</v>
      </c>
      <c r="H58" s="56">
        <f t="shared" si="0"/>
        <v>-684.13297601870454</v>
      </c>
      <c r="I58" s="57">
        <f t="shared" si="1"/>
        <v>-8.9816001735409975E-2</v>
      </c>
      <c r="J58" s="58">
        <f t="shared" si="2"/>
        <v>-12</v>
      </c>
      <c r="K58" s="59">
        <f>'Fall 2024 P2 FON Calculation'!$C58+'Fall 2024 P2 FON Calculation'!$J58</f>
        <v>121.1765</v>
      </c>
    </row>
    <row r="59" spans="2:11">
      <c r="B59" s="60" t="s">
        <v>73</v>
      </c>
      <c r="C59" s="61">
        <v>254.73450000000003</v>
      </c>
      <c r="D59" s="62">
        <v>13063.023333333334</v>
      </c>
      <c r="E59" s="62">
        <v>13063.156666666666</v>
      </c>
      <c r="F59" s="63">
        <v>8.7403999999999996E-2</v>
      </c>
      <c r="G59" s="62">
        <f>'Fall 2024 P2 FON Calculation'!$E59*(1-'Fall 2024 P2 FON Calculation'!$F59)</f>
        <v>11921.384521373333</v>
      </c>
      <c r="H59" s="64">
        <f t="shared" si="0"/>
        <v>-1141.6388119600015</v>
      </c>
      <c r="I59" s="65">
        <f t="shared" si="1"/>
        <v>-8.7394685198704747E-2</v>
      </c>
      <c r="J59" s="66">
        <f t="shared" si="2"/>
        <v>-23</v>
      </c>
      <c r="K59" s="67">
        <f>'Fall 2024 P2 FON Calculation'!$C59+'Fall 2024 P2 FON Calculation'!$J59</f>
        <v>231.73450000000003</v>
      </c>
    </row>
    <row r="60" spans="2:11">
      <c r="B60" s="52" t="s">
        <v>74</v>
      </c>
      <c r="C60" s="53">
        <v>222.14959999999999</v>
      </c>
      <c r="D60" s="54">
        <v>11263.73</v>
      </c>
      <c r="E60" s="54">
        <v>10982.65</v>
      </c>
      <c r="F60" s="55">
        <v>8.7403844353308502E-2</v>
      </c>
      <c r="G60" s="54">
        <f>'Fall 2024 P2 FON Calculation'!$E60*(1-'Fall 2024 P2 FON Calculation'!$F60)</f>
        <v>10022.724168813136</v>
      </c>
      <c r="H60" s="56">
        <f t="shared" si="0"/>
        <v>-1241.0058311868634</v>
      </c>
      <c r="I60" s="57">
        <f t="shared" si="1"/>
        <v>-0.11017716433072024</v>
      </c>
      <c r="J60" s="58">
        <f t="shared" si="2"/>
        <v>-25</v>
      </c>
      <c r="K60" s="59">
        <f>'Fall 2024 P2 FON Calculation'!$C60+'Fall 2024 P2 FON Calculation'!$J60</f>
        <v>197.14959999999999</v>
      </c>
    </row>
    <row r="61" spans="2:11">
      <c r="B61" s="60" t="s">
        <v>75</v>
      </c>
      <c r="C61" s="61">
        <v>237.6576</v>
      </c>
      <c r="D61" s="62">
        <v>15923.388160339313</v>
      </c>
      <c r="E61" s="62">
        <v>15188.466666666667</v>
      </c>
      <c r="F61" s="63">
        <v>8.7403840708821234E-2</v>
      </c>
      <c r="G61" s="62">
        <f>'Fall 2024 P2 FON Calculation'!$E61*(1-'Fall 2024 P2 FON Calculation'!$F61)</f>
        <v>13860.936345522092</v>
      </c>
      <c r="H61" s="64">
        <f t="shared" si="0"/>
        <v>-2062.451814817221</v>
      </c>
      <c r="I61" s="65">
        <f t="shared" si="1"/>
        <v>-0.12952342768068728</v>
      </c>
      <c r="J61" s="66">
        <f t="shared" si="2"/>
        <v>-31</v>
      </c>
      <c r="K61" s="67">
        <f>'Fall 2024 P2 FON Calculation'!$C61+'Fall 2024 P2 FON Calculation'!$J61</f>
        <v>206.6576</v>
      </c>
    </row>
    <row r="62" spans="2:11">
      <c r="B62" s="52" t="s">
        <v>76</v>
      </c>
      <c r="C62" s="53">
        <v>273.58</v>
      </c>
      <c r="D62" s="54">
        <v>18622.560000000001</v>
      </c>
      <c r="E62" s="54">
        <v>17606.256666666664</v>
      </c>
      <c r="F62" s="55">
        <v>8.740384173070026E-2</v>
      </c>
      <c r="G62" s="54">
        <f>'Fall 2024 P2 FON Calculation'!$E62*(1-'Fall 2024 P2 FON Calculation'!$F62)</f>
        <v>16067.402195503246</v>
      </c>
      <c r="H62" s="56">
        <f t="shared" si="0"/>
        <v>-2555.1578044967555</v>
      </c>
      <c r="I62" s="57">
        <f t="shared" si="1"/>
        <v>-0.13720765590212922</v>
      </c>
      <c r="J62" s="58">
        <f t="shared" si="2"/>
        <v>-38</v>
      </c>
      <c r="K62" s="59">
        <f>'Fall 2024 P2 FON Calculation'!$C62+'Fall 2024 P2 FON Calculation'!$J62</f>
        <v>235.57999999999998</v>
      </c>
    </row>
    <row r="63" spans="2:11">
      <c r="B63" s="60" t="s">
        <v>77</v>
      </c>
      <c r="C63" s="61">
        <v>219.28219999999999</v>
      </c>
      <c r="D63" s="62">
        <v>9780.3870994116041</v>
      </c>
      <c r="E63" s="62">
        <v>9969.5780662744019</v>
      </c>
      <c r="F63" s="63">
        <v>8.7403843506929313E-2</v>
      </c>
      <c r="G63" s="62">
        <f>'Fall 2024 P2 FON Calculation'!$E63*(1-'Fall 2024 P2 FON Calculation'!$F63)</f>
        <v>9098.1986251396393</v>
      </c>
      <c r="H63" s="64">
        <f t="shared" si="0"/>
        <v>-682.18847427196488</v>
      </c>
      <c r="I63" s="65">
        <f t="shared" si="1"/>
        <v>-6.9750661945988404E-2</v>
      </c>
      <c r="J63" s="66">
        <f t="shared" si="2"/>
        <v>-16</v>
      </c>
      <c r="K63" s="67">
        <f>'Fall 2024 P2 FON Calculation'!$C63+'Fall 2024 P2 FON Calculation'!$J63</f>
        <v>203.28219999999999</v>
      </c>
    </row>
    <row r="64" spans="2:11">
      <c r="B64" s="52" t="s">
        <v>78</v>
      </c>
      <c r="C64" s="53">
        <v>126.30240000000001</v>
      </c>
      <c r="D64" s="54">
        <v>6893.8599679154868</v>
      </c>
      <c r="E64" s="54">
        <v>6577.2999786103237</v>
      </c>
      <c r="F64" s="55">
        <v>8.7403844913508832E-2</v>
      </c>
      <c r="G64" s="54">
        <f>'Fall 2024 P2 FON Calculation'!$E64*(1-'Fall 2024 P2 FON Calculation'!$F64)</f>
        <v>6002.4186713302424</v>
      </c>
      <c r="H64" s="56">
        <f t="shared" si="0"/>
        <v>-891.44129658524434</v>
      </c>
      <c r="I64" s="57">
        <f t="shared" si="1"/>
        <v>-0.12930945808793265</v>
      </c>
      <c r="J64" s="58">
        <f t="shared" si="2"/>
        <v>-17</v>
      </c>
      <c r="K64" s="59">
        <f>'Fall 2024 P2 FON Calculation'!$C64+'Fall 2024 P2 FON Calculation'!$J64</f>
        <v>109.30240000000001</v>
      </c>
    </row>
    <row r="65" spans="2:11">
      <c r="B65" s="60" t="s">
        <v>79</v>
      </c>
      <c r="C65" s="61">
        <v>214.73349999999999</v>
      </c>
      <c r="D65" s="62">
        <v>13613.44</v>
      </c>
      <c r="E65" s="62">
        <v>13246.160000000002</v>
      </c>
      <c r="F65" s="63">
        <v>8.7403999999999996E-2</v>
      </c>
      <c r="G65" s="62">
        <f>'Fall 2024 P2 FON Calculation'!$E65*(1-'Fall 2024 P2 FON Calculation'!$F65)</f>
        <v>12088.39263136</v>
      </c>
      <c r="H65" s="64">
        <f t="shared" si="0"/>
        <v>-1525.0473686400001</v>
      </c>
      <c r="I65" s="65">
        <f t="shared" si="1"/>
        <v>-0.1120251287433595</v>
      </c>
      <c r="J65" s="66">
        <f t="shared" si="2"/>
        <v>-25</v>
      </c>
      <c r="K65" s="67">
        <f>'Fall 2024 P2 FON Calculation'!$C65+'Fall 2024 P2 FON Calculation'!$J65</f>
        <v>189.73349999999999</v>
      </c>
    </row>
    <row r="66" spans="2:11">
      <c r="B66" s="52" t="s">
        <v>80</v>
      </c>
      <c r="C66" s="53">
        <v>25.056600000000003</v>
      </c>
      <c r="D66" s="54">
        <v>1510.55</v>
      </c>
      <c r="E66" s="54">
        <v>1415.3733333333332</v>
      </c>
      <c r="F66" s="55">
        <v>8.7403855360676186E-2</v>
      </c>
      <c r="G66" s="54">
        <f>'Fall 2024 P2 FON Calculation'!$E66*(1-'Fall 2024 P2 FON Calculation'!$F66)</f>
        <v>1291.6642472253084</v>
      </c>
      <c r="H66" s="56">
        <f t="shared" si="0"/>
        <v>-218.88575277469158</v>
      </c>
      <c r="I66" s="57">
        <f t="shared" si="1"/>
        <v>-0.14490467232113574</v>
      </c>
      <c r="J66" s="58">
        <f t="shared" si="2"/>
        <v>-4</v>
      </c>
      <c r="K66" s="59">
        <f>'Fall 2024 P2 FON Calculation'!$C66+'Fall 2024 P2 FON Calculation'!$J66</f>
        <v>21.056600000000003</v>
      </c>
    </row>
    <row r="67" spans="2:11">
      <c r="B67" s="60" t="s">
        <v>81</v>
      </c>
      <c r="C67" s="61">
        <v>132.7518</v>
      </c>
      <c r="D67" s="62">
        <v>6868.2600000000011</v>
      </c>
      <c r="E67" s="62">
        <v>6757.38</v>
      </c>
      <c r="F67" s="63">
        <v>8.7403847326487427E-2</v>
      </c>
      <c r="G67" s="62">
        <f>'Fall 2024 P2 FON Calculation'!$E67*(1-'Fall 2024 P2 FON Calculation'!$F67)</f>
        <v>6166.7589901529409</v>
      </c>
      <c r="H67" s="64">
        <f t="shared" si="0"/>
        <v>-701.50100984706023</v>
      </c>
      <c r="I67" s="65">
        <f t="shared" si="1"/>
        <v>-0.10213664157254677</v>
      </c>
      <c r="J67" s="66">
        <f t="shared" si="2"/>
        <v>-14</v>
      </c>
      <c r="K67" s="67">
        <f>'Fall 2024 P2 FON Calculation'!$C67+'Fall 2024 P2 FON Calculation'!$J67</f>
        <v>118.7518</v>
      </c>
    </row>
    <row r="68" spans="2:11">
      <c r="B68" s="52" t="s">
        <v>82</v>
      </c>
      <c r="C68" s="53">
        <v>309.63409999999999</v>
      </c>
      <c r="D68" s="54">
        <v>16249.92333333333</v>
      </c>
      <c r="E68" s="54">
        <v>15631.506666666666</v>
      </c>
      <c r="F68" s="55">
        <v>8.7403837569663412E-2</v>
      </c>
      <c r="G68" s="54">
        <f>'Fall 2024 P2 FON Calculation'!$E68*(1-'Fall 2024 P2 FON Calculation'!$F68)</f>
        <v>14265.252997004221</v>
      </c>
      <c r="H68" s="56">
        <f t="shared" si="0"/>
        <v>-1984.670336329109</v>
      </c>
      <c r="I68" s="57">
        <f t="shared" si="1"/>
        <v>-0.12213413538130186</v>
      </c>
      <c r="J68" s="58">
        <f t="shared" si="2"/>
        <v>-38</v>
      </c>
      <c r="K68" s="59">
        <f>'Fall 2024 P2 FON Calculation'!$C68+'Fall 2024 P2 FON Calculation'!$J68</f>
        <v>271.63409999999999</v>
      </c>
    </row>
    <row r="69" spans="2:11">
      <c r="B69" s="60" t="s">
        <v>83</v>
      </c>
      <c r="C69" s="61">
        <v>417.79559999999998</v>
      </c>
      <c r="D69" s="62">
        <v>23354.62</v>
      </c>
      <c r="E69" s="62">
        <v>23172.16693967078</v>
      </c>
      <c r="F69" s="63">
        <v>8.7403999999999996E-2</v>
      </c>
      <c r="G69" s="62">
        <f>'Fall 2024 P2 FON Calculation'!$E69*(1-'Fall 2024 P2 FON Calculation'!$F69)</f>
        <v>21146.826860475794</v>
      </c>
      <c r="H69" s="64">
        <f t="shared" si="0"/>
        <v>-2207.7931395242049</v>
      </c>
      <c r="I69" s="65">
        <f t="shared" si="1"/>
        <v>-9.4533464450468688E-2</v>
      </c>
      <c r="J69" s="66">
        <f t="shared" si="2"/>
        <v>-40</v>
      </c>
      <c r="K69" s="67">
        <f>'Fall 2024 P2 FON Calculation'!$C69+'Fall 2024 P2 FON Calculation'!$J69</f>
        <v>377.79559999999998</v>
      </c>
    </row>
    <row r="70" spans="2:11">
      <c r="B70" s="52" t="s">
        <v>84</v>
      </c>
      <c r="C70" s="53">
        <v>276.16680000000002</v>
      </c>
      <c r="D70" s="54">
        <v>14908.499999999998</v>
      </c>
      <c r="E70" s="54">
        <v>14996.217322676672</v>
      </c>
      <c r="F70" s="55">
        <v>8.7403840296502389E-2</v>
      </c>
      <c r="G70" s="54">
        <f>'Fall 2024 P2 FON Calculation'!$E70*(1-'Fall 2024 P2 FON Calculation'!$F70)</f>
        <v>13685.490338753798</v>
      </c>
      <c r="H70" s="56">
        <f t="shared" si="0"/>
        <v>-1223.0096612462003</v>
      </c>
      <c r="I70" s="57">
        <f t="shared" si="1"/>
        <v>-8.2034387178200385E-2</v>
      </c>
      <c r="J70" s="58">
        <f t="shared" si="2"/>
        <v>-23</v>
      </c>
      <c r="K70" s="59">
        <f>'Fall 2024 P2 FON Calculation'!$C70+'Fall 2024 P2 FON Calculation'!$J70</f>
        <v>253.16680000000002</v>
      </c>
    </row>
    <row r="71" spans="2:11">
      <c r="B71" s="60" t="s">
        <v>85</v>
      </c>
      <c r="C71" s="61">
        <v>635.25130000000001</v>
      </c>
      <c r="D71" s="62">
        <v>31368.675592262534</v>
      </c>
      <c r="E71" s="62">
        <v>31800.347061508357</v>
      </c>
      <c r="F71" s="63">
        <v>8.7403840871406846E-2</v>
      </c>
      <c r="G71" s="62">
        <f>'Fall 2024 P2 FON Calculation'!$E71*(1-'Fall 2024 P2 FON Calculation'!$F71)</f>
        <v>29020.87458728877</v>
      </c>
      <c r="H71" s="64">
        <f t="shared" si="0"/>
        <v>-2347.8010049737641</v>
      </c>
      <c r="I71" s="65">
        <f t="shared" ref="I71:I78" si="3">H71/D71</f>
        <v>-7.4845397857755833E-2</v>
      </c>
      <c r="J71" s="66">
        <f t="shared" si="2"/>
        <v>-48</v>
      </c>
      <c r="K71" s="67">
        <f>'Fall 2024 P2 FON Calculation'!$C71+'Fall 2024 P2 FON Calculation'!$J71</f>
        <v>587.25130000000001</v>
      </c>
    </row>
    <row r="72" spans="2:11">
      <c r="B72" s="52" t="s">
        <v>86</v>
      </c>
      <c r="C72" s="53">
        <v>450.83260000000001</v>
      </c>
      <c r="D72" s="54">
        <v>25558.040000000005</v>
      </c>
      <c r="E72" s="54">
        <v>25034.463333333333</v>
      </c>
      <c r="F72" s="55">
        <v>8.7403837470433898E-2</v>
      </c>
      <c r="G72" s="54">
        <f>'Fall 2024 P2 FON Calculation'!$E72*(1-'Fall 2024 P2 FON Calculation'!$F72)</f>
        <v>22846.355168987131</v>
      </c>
      <c r="H72" s="56">
        <f t="shared" ref="H72:H78" si="4">G72-D72</f>
        <v>-2711.6848310128735</v>
      </c>
      <c r="I72" s="57">
        <f t="shared" si="3"/>
        <v>-0.10609909175401842</v>
      </c>
      <c r="J72" s="58">
        <f t="shared" ref="J72:J78" si="5">IF(C72*I72&gt;=0,ROUNDDOWN(C72*I72,0),ROUNDUP(C72*I72,0))</f>
        <v>-48</v>
      </c>
      <c r="K72" s="59">
        <f>'Fall 2024 P2 FON Calculation'!$C72+'Fall 2024 P2 FON Calculation'!$J72</f>
        <v>402.83260000000001</v>
      </c>
    </row>
    <row r="73" spans="2:11">
      <c r="B73" s="60" t="s">
        <v>87</v>
      </c>
      <c r="C73" s="61">
        <v>151.01429999999999</v>
      </c>
      <c r="D73" s="62">
        <v>10289.524413079411</v>
      </c>
      <c r="E73" s="62">
        <v>10493.553959141191</v>
      </c>
      <c r="F73" s="63">
        <v>8.7403835232358507E-2</v>
      </c>
      <c r="G73" s="62">
        <f>'Fall 2024 P2 FON Calculation'!$E73*(1-'Fall 2024 P2 FON Calculation'!$F73)</f>
        <v>9576.3770978945504</v>
      </c>
      <c r="H73" s="64">
        <f t="shared" si="4"/>
        <v>-713.14731518486042</v>
      </c>
      <c r="I73" s="65">
        <f t="shared" si="3"/>
        <v>-6.9308093023070283E-2</v>
      </c>
      <c r="J73" s="66">
        <f t="shared" si="5"/>
        <v>-11</v>
      </c>
      <c r="K73" s="67">
        <f>'Fall 2024 P2 FON Calculation'!$C73+'Fall 2024 P2 FON Calculation'!$J73</f>
        <v>140.01429999999999</v>
      </c>
    </row>
    <row r="74" spans="2:11">
      <c r="B74" s="52" t="s">
        <v>88</v>
      </c>
      <c r="C74" s="53">
        <v>95.5732</v>
      </c>
      <c r="D74" s="54">
        <v>5422.66</v>
      </c>
      <c r="E74" s="54">
        <v>5391.42</v>
      </c>
      <c r="F74" s="55">
        <v>8.7403842293083511E-2</v>
      </c>
      <c r="G74" s="54">
        <f>'Fall 2024 P2 FON Calculation'!$E74*(1-'Fall 2024 P2 FON Calculation'!$F74)</f>
        <v>4920.1891765842238</v>
      </c>
      <c r="H74" s="56">
        <f t="shared" si="4"/>
        <v>-502.47082341577607</v>
      </c>
      <c r="I74" s="57">
        <f t="shared" si="3"/>
        <v>-9.2661318138289345E-2</v>
      </c>
      <c r="J74" s="58">
        <f t="shared" si="5"/>
        <v>-9</v>
      </c>
      <c r="K74" s="59">
        <f>'Fall 2024 P2 FON Calculation'!$C74+'Fall 2024 P2 FON Calculation'!$J74</f>
        <v>86.5732</v>
      </c>
    </row>
    <row r="75" spans="2:11">
      <c r="B75" s="60" t="s">
        <v>89</v>
      </c>
      <c r="C75" s="61">
        <v>64.719899999999996</v>
      </c>
      <c r="D75" s="62">
        <v>2868.2293910232038</v>
      </c>
      <c r="E75" s="62">
        <v>2561.313333333333</v>
      </c>
      <c r="F75" s="63">
        <v>8.7403848752807489E-2</v>
      </c>
      <c r="G75" s="62">
        <f>'Fall 2024 P2 FON Calculation'!$E75*(1-'Fall 2024 P2 FON Calculation'!$F75)</f>
        <v>2337.444690138117</v>
      </c>
      <c r="H75" s="64">
        <f t="shared" si="4"/>
        <v>-530.78470088508675</v>
      </c>
      <c r="I75" s="65">
        <f t="shared" si="3"/>
        <v>-0.18505657272263576</v>
      </c>
      <c r="J75" s="66">
        <f t="shared" si="5"/>
        <v>-12</v>
      </c>
      <c r="K75" s="67">
        <f>'Fall 2024 P2 FON Calculation'!$C75+'Fall 2024 P2 FON Calculation'!$J75</f>
        <v>52.719899999999996</v>
      </c>
    </row>
    <row r="76" spans="2:11">
      <c r="B76" s="52" t="s">
        <v>90</v>
      </c>
      <c r="C76" s="53">
        <v>206.1437</v>
      </c>
      <c r="D76" s="54">
        <v>9815.3866666666636</v>
      </c>
      <c r="E76" s="54">
        <v>9764.2533333333322</v>
      </c>
      <c r="F76" s="55">
        <v>8.7403999999999996E-2</v>
      </c>
      <c r="G76" s="54">
        <f>'Fall 2024 P2 FON Calculation'!$E76*(1-'Fall 2024 P2 FON Calculation'!$F76)</f>
        <v>8910.8185349866653</v>
      </c>
      <c r="H76" s="56">
        <f t="shared" si="4"/>
        <v>-904.56813167999826</v>
      </c>
      <c r="I76" s="57">
        <f t="shared" si="3"/>
        <v>-9.2158175974048753E-2</v>
      </c>
      <c r="J76" s="58">
        <f t="shared" si="5"/>
        <v>-19</v>
      </c>
      <c r="K76" s="59">
        <f>'Fall 2024 P2 FON Calculation'!$C76+'Fall 2024 P2 FON Calculation'!$J76</f>
        <v>187.1437</v>
      </c>
    </row>
    <row r="77" spans="2:11">
      <c r="B77" s="60" t="s">
        <v>91</v>
      </c>
      <c r="C77" s="61">
        <v>309.23689999999999</v>
      </c>
      <c r="D77" s="62">
        <v>15894.47</v>
      </c>
      <c r="E77" s="62">
        <v>16068.213333333333</v>
      </c>
      <c r="F77" s="63">
        <v>8.7403841533016058E-2</v>
      </c>
      <c r="G77" s="62">
        <f>'Fall 2024 P2 FON Calculation'!$E77*(1-'Fall 2024 P2 FON Calculation'!$F77)</f>
        <v>14663.78976142797</v>
      </c>
      <c r="H77" s="64">
        <f t="shared" si="4"/>
        <v>-1230.6802385720293</v>
      </c>
      <c r="I77" s="65">
        <f>H77/D77</f>
        <v>-7.7428202297530488E-2</v>
      </c>
      <c r="J77" s="66">
        <f t="shared" si="5"/>
        <v>-24</v>
      </c>
      <c r="K77" s="67">
        <f>'Fall 2024 P2 FON Calculation'!$C77+'Fall 2024 P2 FON Calculation'!$J77</f>
        <v>285.23689999999999</v>
      </c>
    </row>
    <row r="78" spans="2:11" ht="15.75" thickBot="1">
      <c r="B78" s="52" t="s">
        <v>92</v>
      </c>
      <c r="C78" s="53">
        <v>106.10639999999999</v>
      </c>
      <c r="D78" s="54">
        <v>7409.3</v>
      </c>
      <c r="E78" s="54">
        <v>7244.4133333333339</v>
      </c>
      <c r="F78" s="55">
        <v>8.7403838896674024E-2</v>
      </c>
      <c r="G78" s="54">
        <f>'Fall 2024 P2 FON Calculation'!$E78*(1-'Fall 2024 P2 FON Calculation'!$F78)</f>
        <v>6611.2237974457503</v>
      </c>
      <c r="H78" s="56">
        <f t="shared" si="4"/>
        <v>-798.0762025542499</v>
      </c>
      <c r="I78" s="57">
        <f t="shared" si="3"/>
        <v>-0.10771276673292347</v>
      </c>
      <c r="J78" s="58">
        <f t="shared" si="5"/>
        <v>-12</v>
      </c>
      <c r="K78" s="59">
        <f>'Fall 2024 P2 FON Calculation'!$C78+'Fall 2024 P2 FON Calculation'!$J78</f>
        <v>94.106399999999994</v>
      </c>
    </row>
    <row r="79" spans="2:11" ht="16.5" thickTop="1" thickBot="1">
      <c r="B79" s="68" t="s">
        <v>93</v>
      </c>
      <c r="C79" s="69">
        <f>SUBTOTAL(109,'Fall 2024 P2 FON Calculation'!$C$7:$C$78)</f>
        <v>18401.251999999997</v>
      </c>
      <c r="D79" s="70">
        <f>SUBTOTAL(109,'Fall 2024 P2 FON Calculation'!$D$7:$D$78)</f>
        <v>1031754.8100429464</v>
      </c>
      <c r="E79" s="70">
        <f>SUBTOTAL(109,'Fall 2024 P2 FON Calculation'!$E$7:$E$78)</f>
        <v>1013326.3210382677</v>
      </c>
      <c r="F79" s="71">
        <v>8.7403999999999996E-2</v>
      </c>
      <c r="G79" s="70">
        <f>SUBTOTAL(109,'Fall 2024 P2 FON Calculation'!$G$7:$G$78)</f>
        <v>924757.69555733551</v>
      </c>
      <c r="H79" s="72">
        <f>SUBTOTAL(109,'Fall 2024 P2 FON Calculation'!$H$7:$H$78)</f>
        <v>-106997.11448561089</v>
      </c>
      <c r="I79" s="73">
        <f>H79/D79</f>
        <v>-0.1037040132443455</v>
      </c>
      <c r="J79" s="72">
        <f>SUBTOTAL(109,'Fall 2024 P2 FON Calculation'!$J$7:$J$78)</f>
        <v>-1935</v>
      </c>
      <c r="K79" s="74">
        <f>SUBTOTAL(109,'Fall 2024 P2 FON Calculation'!$K$7:$K$78)</f>
        <v>16466.251999999997</v>
      </c>
    </row>
    <row r="81" spans="1:11">
      <c r="A81" s="14" t="s">
        <v>117</v>
      </c>
      <c r="B81" s="14">
        <v>1</v>
      </c>
      <c r="C81" s="14">
        <v>2</v>
      </c>
      <c r="D81" s="14">
        <v>3</v>
      </c>
      <c r="E81" s="14">
        <v>4</v>
      </c>
      <c r="F81" s="14">
        <v>5</v>
      </c>
      <c r="G81" s="14">
        <v>6</v>
      </c>
      <c r="H81" s="14">
        <v>7</v>
      </c>
      <c r="I81" s="14">
        <v>8</v>
      </c>
      <c r="J81" s="14">
        <v>9</v>
      </c>
      <c r="K81" s="14">
        <v>10</v>
      </c>
    </row>
    <row r="84" spans="1:11">
      <c r="D84" s="28"/>
      <c r="E84" s="28"/>
    </row>
  </sheetData>
  <autoFilter ref="B6:K78" xr:uid="{82644E28-2BC5-47B7-9626-042B666D6115}"/>
  <pageMargins left="0.45" right="0" top="0.5" bottom="0.5" header="0.3" footer="0.3"/>
  <pageSetup scale="63" orientation="landscape" r:id="rId1"/>
  <headerFooter>
    <oddFooter>&amp;R&amp;D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89BA-0FE2-4DCF-9DD4-9084CA82A0C2}">
  <dimension ref="A1:K24"/>
  <sheetViews>
    <sheetView showGridLines="0" workbookViewId="0">
      <selection activeCell="C5" sqref="C5"/>
    </sheetView>
  </sheetViews>
  <sheetFormatPr defaultColWidth="9.140625" defaultRowHeight="15"/>
  <cols>
    <col min="1" max="1" width="2.42578125" style="111" customWidth="1"/>
    <col min="2" max="2" width="14.85546875" style="111" customWidth="1"/>
    <col min="3" max="3" width="38.85546875" style="111" bestFit="1" customWidth="1"/>
    <col min="4" max="4" width="14.5703125" style="111" customWidth="1"/>
    <col min="5" max="5" width="4.28515625" style="111" customWidth="1"/>
    <col min="6" max="16384" width="9.140625" style="111"/>
  </cols>
  <sheetData>
    <row r="1" spans="1:11" ht="25.15" customHeight="1">
      <c r="A1" s="18" t="s">
        <v>0</v>
      </c>
      <c r="B1" s="1"/>
      <c r="C1" s="1"/>
      <c r="D1" s="115"/>
    </row>
    <row r="2" spans="1:11" ht="25.15" customHeight="1">
      <c r="A2" s="18" t="s">
        <v>2</v>
      </c>
      <c r="B2" s="115"/>
      <c r="C2" s="115"/>
      <c r="D2" s="115"/>
    </row>
    <row r="3" spans="1:11" ht="25.15" customHeight="1" thickBot="1">
      <c r="A3" s="18" t="s">
        <v>261</v>
      </c>
      <c r="B3" s="115"/>
      <c r="C3" s="115"/>
      <c r="D3" s="115"/>
    </row>
    <row r="4" spans="1:11" ht="19.5" thickBot="1">
      <c r="A4" s="115"/>
      <c r="B4" s="116"/>
      <c r="C4" s="117"/>
      <c r="D4" s="135"/>
      <c r="F4" s="112"/>
      <c r="G4" s="112"/>
      <c r="H4" s="112"/>
      <c r="I4" s="112"/>
      <c r="J4" s="112"/>
      <c r="K4" s="112"/>
    </row>
    <row r="5" spans="1:11" ht="30" customHeight="1" thickBot="1">
      <c r="A5" s="115"/>
      <c r="B5" s="118" t="s">
        <v>20</v>
      </c>
      <c r="C5" s="134"/>
      <c r="D5" s="119"/>
      <c r="E5" s="110" t="s">
        <v>132</v>
      </c>
      <c r="F5" s="113" t="s">
        <v>133</v>
      </c>
      <c r="G5" s="112"/>
      <c r="H5" s="112"/>
      <c r="I5" s="112"/>
      <c r="J5" s="112"/>
      <c r="K5" s="112"/>
    </row>
    <row r="6" spans="1:11" ht="15.75">
      <c r="A6" s="115"/>
      <c r="B6" s="120" t="s">
        <v>94</v>
      </c>
      <c r="C6" s="136"/>
      <c r="D6" s="119"/>
      <c r="F6" s="113"/>
      <c r="G6" s="112"/>
      <c r="H6" s="112"/>
      <c r="I6" s="112"/>
      <c r="J6" s="112"/>
      <c r="K6" s="112"/>
    </row>
    <row r="7" spans="1:11" ht="15.75">
      <c r="A7" s="115"/>
      <c r="B7" s="121"/>
      <c r="C7" s="136" t="s">
        <v>188</v>
      </c>
      <c r="D7" s="122">
        <v>0</v>
      </c>
      <c r="E7" s="110" t="s">
        <v>132</v>
      </c>
      <c r="F7" s="113" t="s">
        <v>186</v>
      </c>
      <c r="G7" s="112"/>
      <c r="H7" s="112"/>
      <c r="I7" s="112"/>
      <c r="J7" s="112"/>
      <c r="K7" s="112"/>
    </row>
    <row r="8" spans="1:11" ht="15.75">
      <c r="A8" s="115"/>
      <c r="B8" s="121"/>
      <c r="C8" s="136" t="s">
        <v>14</v>
      </c>
      <c r="D8" s="123">
        <v>0</v>
      </c>
      <c r="E8" s="110" t="s">
        <v>132</v>
      </c>
      <c r="F8" s="113" t="s">
        <v>187</v>
      </c>
      <c r="G8" s="112"/>
      <c r="H8" s="112"/>
      <c r="I8" s="112"/>
      <c r="J8" s="112"/>
      <c r="K8" s="112"/>
    </row>
    <row r="9" spans="1:11" ht="15.75">
      <c r="A9" s="115"/>
      <c r="B9" s="121"/>
      <c r="C9" s="136"/>
      <c r="D9" s="119"/>
      <c r="F9" s="113"/>
      <c r="G9" s="112"/>
      <c r="H9" s="112"/>
      <c r="I9" s="112"/>
      <c r="J9" s="112"/>
      <c r="K9" s="112"/>
    </row>
    <row r="10" spans="1:11" ht="15.75">
      <c r="A10" s="115"/>
      <c r="B10" s="121"/>
      <c r="C10" s="136"/>
      <c r="D10" s="119"/>
      <c r="F10" s="113"/>
      <c r="G10" s="112"/>
      <c r="H10" s="112"/>
      <c r="I10" s="112"/>
      <c r="J10" s="112"/>
      <c r="K10" s="112"/>
    </row>
    <row r="11" spans="1:11" ht="15.75">
      <c r="A11" s="115"/>
      <c r="B11" s="120" t="s">
        <v>262</v>
      </c>
      <c r="C11" s="136"/>
      <c r="D11" s="119"/>
      <c r="F11" s="113"/>
      <c r="G11" s="112"/>
      <c r="H11" s="112"/>
      <c r="I11" s="112"/>
      <c r="J11" s="112"/>
      <c r="K11" s="112"/>
    </row>
    <row r="12" spans="1:11" ht="15.75">
      <c r="A12" s="115"/>
      <c r="B12" s="120"/>
      <c r="C12" s="136"/>
      <c r="D12" s="119"/>
      <c r="F12" s="113"/>
      <c r="G12" s="112"/>
      <c r="H12" s="112"/>
      <c r="I12" s="112"/>
      <c r="J12" s="112"/>
      <c r="K12" s="112"/>
    </row>
    <row r="13" spans="1:11" ht="15.75">
      <c r="A13" s="115"/>
      <c r="B13" s="124" t="s">
        <v>95</v>
      </c>
      <c r="C13" s="136" t="s">
        <v>96</v>
      </c>
      <c r="D13" s="125">
        <f>SUMIF('Fall 2024 P2 FON Calculation'!$B$7:$B$78,'FON Estimator'!$C$5,'Fall 2024 P2 FON Calculation'!$C$7:$C$78)</f>
        <v>0</v>
      </c>
      <c r="E13" s="133" t="s">
        <v>130</v>
      </c>
      <c r="F13" s="113" t="s">
        <v>263</v>
      </c>
      <c r="G13" s="112"/>
      <c r="H13" s="112"/>
      <c r="I13" s="112"/>
      <c r="J13" s="112"/>
      <c r="K13" s="112"/>
    </row>
    <row r="14" spans="1:11" ht="15.75">
      <c r="A14" s="115"/>
      <c r="B14" s="124" t="s">
        <v>97</v>
      </c>
      <c r="C14" s="136" t="s">
        <v>98</v>
      </c>
      <c r="D14" s="126">
        <f>SUMIF('Fall 2024 P2 FON Calculation'!$B$7:$B$78,'FON Estimator'!$C$5,'Fall 2024 P2 FON Calculation'!$D$7:$D$78)</f>
        <v>0</v>
      </c>
      <c r="E14" s="133" t="s">
        <v>130</v>
      </c>
      <c r="F14" s="113" t="s">
        <v>263</v>
      </c>
      <c r="G14" s="112"/>
      <c r="H14" s="112"/>
      <c r="I14" s="112"/>
      <c r="J14" s="112"/>
      <c r="K14" s="112"/>
    </row>
    <row r="15" spans="1:11" ht="15.75">
      <c r="A15" s="115"/>
      <c r="B15" s="124" t="s">
        <v>99</v>
      </c>
      <c r="C15" s="136" t="s">
        <v>100</v>
      </c>
      <c r="D15" s="126">
        <f>D7</f>
        <v>0</v>
      </c>
      <c r="E15" s="133" t="s">
        <v>130</v>
      </c>
      <c r="F15" s="113" t="s">
        <v>189</v>
      </c>
      <c r="G15" s="112"/>
      <c r="H15" s="112"/>
      <c r="I15" s="112"/>
      <c r="J15" s="112"/>
      <c r="K15" s="112"/>
    </row>
    <row r="16" spans="1:11" ht="15.75">
      <c r="A16" s="115"/>
      <c r="B16" s="124" t="s">
        <v>101</v>
      </c>
      <c r="C16" s="136" t="s">
        <v>102</v>
      </c>
      <c r="D16" s="127">
        <f>1-D8</f>
        <v>1</v>
      </c>
      <c r="E16" s="133" t="s">
        <v>130</v>
      </c>
      <c r="F16" s="113" t="s">
        <v>190</v>
      </c>
      <c r="G16" s="112"/>
      <c r="H16" s="112"/>
      <c r="I16" s="112"/>
      <c r="J16" s="112"/>
      <c r="K16" s="112"/>
    </row>
    <row r="17" spans="1:11" ht="15.75">
      <c r="A17" s="115"/>
      <c r="B17" s="124" t="s">
        <v>103</v>
      </c>
      <c r="C17" s="136" t="s">
        <v>104</v>
      </c>
      <c r="D17" s="128">
        <f>D15*D16</f>
        <v>0</v>
      </c>
      <c r="F17" s="113"/>
      <c r="G17" s="112"/>
      <c r="H17" s="112"/>
      <c r="I17" s="112"/>
      <c r="J17" s="112"/>
      <c r="K17" s="112"/>
    </row>
    <row r="18" spans="1:11" ht="15.75">
      <c r="A18" s="115"/>
      <c r="B18" s="124" t="s">
        <v>105</v>
      </c>
      <c r="C18" s="136" t="s">
        <v>106</v>
      </c>
      <c r="D18" s="128">
        <f>D17-D14</f>
        <v>0</v>
      </c>
      <c r="F18" s="113"/>
      <c r="G18" s="112"/>
      <c r="H18" s="112"/>
      <c r="I18" s="112"/>
      <c r="J18" s="112"/>
      <c r="K18" s="112"/>
    </row>
    <row r="19" spans="1:11" ht="15.75">
      <c r="A19" s="115"/>
      <c r="B19" s="124" t="s">
        <v>107</v>
      </c>
      <c r="C19" s="136" t="s">
        <v>108</v>
      </c>
      <c r="D19" s="129" t="e">
        <f>D18/D14</f>
        <v>#DIV/0!</v>
      </c>
      <c r="F19" s="113"/>
      <c r="G19" s="112"/>
      <c r="H19" s="112"/>
      <c r="I19" s="112"/>
      <c r="J19" s="112"/>
      <c r="K19" s="112"/>
    </row>
    <row r="20" spans="1:11" ht="15.75">
      <c r="A20" s="115"/>
      <c r="B20" s="124" t="s">
        <v>109</v>
      </c>
      <c r="C20" s="136" t="s">
        <v>110</v>
      </c>
      <c r="D20" s="130" t="e">
        <f>IF(D13*D19&gt;=0,ROUNDDOWN(D13*D19,0),ROUNDUP(D13*D19,0))</f>
        <v>#DIV/0!</v>
      </c>
      <c r="F20" s="114"/>
      <c r="G20" s="112"/>
      <c r="H20" s="112"/>
      <c r="I20" s="112"/>
      <c r="J20" s="112"/>
      <c r="K20" s="112"/>
    </row>
    <row r="21" spans="1:11" ht="15.75">
      <c r="A21" s="115"/>
      <c r="B21" s="124" t="s">
        <v>116</v>
      </c>
      <c r="C21" s="136" t="s">
        <v>191</v>
      </c>
      <c r="D21" s="125" t="e">
        <f>D13+D20</f>
        <v>#DIV/0!</v>
      </c>
      <c r="E21" s="133"/>
      <c r="F21" s="113"/>
      <c r="G21" s="112"/>
      <c r="H21" s="112"/>
      <c r="I21" s="112"/>
      <c r="J21" s="112"/>
      <c r="K21" s="112"/>
    </row>
    <row r="22" spans="1:11" ht="16.5" customHeight="1" thickBot="1">
      <c r="A22" s="115"/>
      <c r="B22" s="131"/>
      <c r="C22" s="132"/>
      <c r="D22" s="137"/>
      <c r="E22" s="133"/>
      <c r="F22" s="113"/>
      <c r="G22" s="112"/>
      <c r="H22" s="112"/>
      <c r="I22" s="112"/>
      <c r="J22" s="112"/>
      <c r="K22" s="112"/>
    </row>
    <row r="23" spans="1:11">
      <c r="A23" s="115"/>
      <c r="B23" s="115"/>
      <c r="C23" s="115"/>
      <c r="D23" s="115"/>
    </row>
    <row r="24" spans="1:11">
      <c r="A24" s="115"/>
      <c r="B24" s="115"/>
      <c r="C24" s="115"/>
      <c r="D24" s="115"/>
      <c r="E24" s="112"/>
      <c r="F24" s="112"/>
      <c r="G24" s="112"/>
      <c r="H24" s="112"/>
      <c r="I24" s="112"/>
      <c r="J24" s="112"/>
      <c r="K24" s="112"/>
    </row>
  </sheetData>
  <pageMargins left="0.7" right="0.7" top="0.75" bottom="0.75" header="0.3" footer="0.3"/>
  <pageSetup orientation="portrait" r:id="rId1"/>
  <headerFoot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" prompt="Select your district to estimate R1 FON._x000a_" xr:uid="{BFA63C9B-C0F0-466E-B14C-37F5AF8C160A}">
          <x14:formula1>
            <xm:f>'Fall 2024 P2 FON Calculation'!$B$7:$B$78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A03E-2B8B-4FC9-A1E6-4C93D86B0E5B}">
  <dimension ref="A1:I49"/>
  <sheetViews>
    <sheetView showGridLines="0" topLeftCell="A14" zoomScale="130" zoomScaleNormal="130" workbookViewId="0">
      <selection activeCell="B35" sqref="B35"/>
    </sheetView>
  </sheetViews>
  <sheetFormatPr defaultRowHeight="15"/>
  <cols>
    <col min="1" max="1" width="12.140625" style="76" customWidth="1"/>
    <col min="2" max="2" width="21.42578125" customWidth="1"/>
    <col min="3" max="3" width="18" customWidth="1"/>
    <col min="4" max="4" width="10.85546875" bestFit="1" customWidth="1"/>
    <col min="5" max="5" width="11.7109375" bestFit="1" customWidth="1"/>
    <col min="6" max="6" width="10.7109375" customWidth="1"/>
    <col min="7" max="7" width="20.5703125" customWidth="1"/>
    <col min="8" max="8" width="1.7109375" customWidth="1"/>
  </cols>
  <sheetData>
    <row r="1" spans="1:7" s="18" customFormat="1" ht="19.5">
      <c r="A1" s="18" t="s">
        <v>0</v>
      </c>
    </row>
    <row r="2" spans="1:7" s="18" customFormat="1" ht="19.5">
      <c r="A2" s="18" t="s">
        <v>264</v>
      </c>
    </row>
    <row r="3" spans="1:7" ht="4.9000000000000004" customHeight="1">
      <c r="A3" s="193"/>
      <c r="B3" s="193"/>
      <c r="C3" s="193"/>
      <c r="D3" s="193"/>
      <c r="E3" s="193"/>
      <c r="F3" s="193"/>
      <c r="G3" s="193"/>
    </row>
    <row r="4" spans="1:7">
      <c r="A4" s="194" t="s">
        <v>185</v>
      </c>
      <c r="B4" s="194"/>
      <c r="C4" s="194"/>
      <c r="D4" s="194"/>
      <c r="E4" s="194"/>
      <c r="F4" s="194"/>
      <c r="G4" s="194"/>
    </row>
    <row r="5" spans="1:7" ht="14.25" customHeight="1">
      <c r="A5" s="109" t="s">
        <v>184</v>
      </c>
      <c r="B5" s="179" t="s">
        <v>183</v>
      </c>
      <c r="C5" s="179"/>
      <c r="D5" s="179"/>
      <c r="E5" s="179"/>
      <c r="F5" s="179"/>
      <c r="G5" s="179"/>
    </row>
    <row r="6" spans="1:7" ht="34.15" customHeight="1" thickBot="1">
      <c r="A6" s="107" t="s">
        <v>173</v>
      </c>
      <c r="B6" s="179" t="s">
        <v>182</v>
      </c>
      <c r="C6" s="179"/>
      <c r="D6" s="179"/>
      <c r="E6" s="179"/>
      <c r="F6" s="179"/>
      <c r="G6" s="179"/>
    </row>
    <row r="7" spans="1:7">
      <c r="A7" s="183" t="s">
        <v>181</v>
      </c>
      <c r="B7" s="184"/>
      <c r="C7" s="184"/>
      <c r="D7" s="184"/>
      <c r="E7" s="184"/>
      <c r="F7" s="184"/>
      <c r="G7" s="185"/>
    </row>
    <row r="8" spans="1:7" ht="28.5" customHeight="1">
      <c r="A8" s="186" t="s">
        <v>178</v>
      </c>
      <c r="B8" s="187"/>
      <c r="C8" s="187" t="s">
        <v>180</v>
      </c>
      <c r="D8" s="187"/>
      <c r="E8" s="187"/>
      <c r="F8" s="187"/>
      <c r="G8" s="192"/>
    </row>
    <row r="9" spans="1:7" ht="28.5" customHeight="1" thickBot="1">
      <c r="A9" s="191" t="s">
        <v>176</v>
      </c>
      <c r="B9" s="181"/>
      <c r="C9" s="181" t="s">
        <v>265</v>
      </c>
      <c r="D9" s="181"/>
      <c r="E9" s="181"/>
      <c r="F9" s="181"/>
      <c r="G9" s="182"/>
    </row>
    <row r="10" spans="1:7" s="104" customFormat="1">
      <c r="A10" s="183" t="s">
        <v>179</v>
      </c>
      <c r="B10" s="184"/>
      <c r="C10" s="184"/>
      <c r="D10" s="184"/>
      <c r="E10" s="184"/>
      <c r="F10" s="184"/>
      <c r="G10" s="185"/>
    </row>
    <row r="11" spans="1:7" ht="28.5" customHeight="1">
      <c r="A11" s="186" t="s">
        <v>178</v>
      </c>
      <c r="B11" s="187"/>
      <c r="C11" s="188" t="s">
        <v>177</v>
      </c>
      <c r="D11" s="188"/>
      <c r="E11" s="188"/>
      <c r="F11" s="188"/>
      <c r="G11" s="189"/>
    </row>
    <row r="12" spans="1:7" ht="28.5" customHeight="1" thickBot="1">
      <c r="A12" s="191" t="s">
        <v>176</v>
      </c>
      <c r="B12" s="181"/>
      <c r="C12" s="181" t="s">
        <v>265</v>
      </c>
      <c r="D12" s="181"/>
      <c r="E12" s="181"/>
      <c r="F12" s="181"/>
      <c r="G12" s="182"/>
    </row>
    <row r="13" spans="1:7" ht="42.75" customHeight="1">
      <c r="A13" s="108" t="s">
        <v>175</v>
      </c>
      <c r="B13" s="190" t="s">
        <v>174</v>
      </c>
      <c r="C13" s="190"/>
      <c r="D13" s="190"/>
      <c r="E13" s="190"/>
      <c r="F13" s="190"/>
      <c r="G13" s="190"/>
    </row>
    <row r="14" spans="1:7" ht="59.25" customHeight="1">
      <c r="A14" s="107" t="s">
        <v>173</v>
      </c>
      <c r="B14" s="179" t="s">
        <v>172</v>
      </c>
      <c r="C14" s="179"/>
      <c r="D14" s="179"/>
      <c r="E14" s="179"/>
      <c r="F14" s="179"/>
      <c r="G14" s="179"/>
    </row>
    <row r="15" spans="1:7" ht="28.5" customHeight="1">
      <c r="A15" s="177" t="s">
        <v>171</v>
      </c>
      <c r="B15" s="177"/>
      <c r="C15" s="177"/>
      <c r="D15" s="177"/>
      <c r="E15" s="177"/>
      <c r="F15" s="177"/>
      <c r="G15" s="177"/>
    </row>
    <row r="16" spans="1:7">
      <c r="A16" s="99"/>
      <c r="B16" s="104" t="s">
        <v>170</v>
      </c>
    </row>
    <row r="17" spans="1:7">
      <c r="A17" s="98" t="s">
        <v>152</v>
      </c>
      <c r="B17" s="106">
        <v>122445</v>
      </c>
      <c r="C17" t="s">
        <v>169</v>
      </c>
    </row>
    <row r="18" spans="1:7">
      <c r="A18" s="99" t="s">
        <v>151</v>
      </c>
      <c r="B18" s="96">
        <f>B17*0.25</f>
        <v>30611.25</v>
      </c>
      <c r="C18" t="s">
        <v>168</v>
      </c>
    </row>
    <row r="19" spans="1:7">
      <c r="B19" s="100">
        <f>B17+B18</f>
        <v>153056.25</v>
      </c>
      <c r="C19" t="s">
        <v>167</v>
      </c>
    </row>
    <row r="20" spans="1:7" ht="4.9000000000000004" customHeight="1">
      <c r="B20" s="105"/>
    </row>
    <row r="21" spans="1:7">
      <c r="A21" s="99"/>
      <c r="B21" s="104" t="s">
        <v>166</v>
      </c>
    </row>
    <row r="22" spans="1:7" ht="32.25" customHeight="1">
      <c r="B22" s="103">
        <v>94.94</v>
      </c>
      <c r="C22" s="178" t="s">
        <v>165</v>
      </c>
      <c r="D22" s="179"/>
      <c r="E22" s="179"/>
      <c r="F22" s="179"/>
      <c r="G22" s="179"/>
    </row>
    <row r="23" spans="1:7">
      <c r="C23" t="s">
        <v>164</v>
      </c>
    </row>
    <row r="24" spans="1:7">
      <c r="A24" s="98" t="s">
        <v>150</v>
      </c>
      <c r="B24" s="96">
        <f>15*35*B22</f>
        <v>49843.5</v>
      </c>
      <c r="C24" t="s">
        <v>163</v>
      </c>
    </row>
    <row r="25" spans="1:7" ht="4.9000000000000004" customHeight="1">
      <c r="A25" s="99"/>
    </row>
    <row r="26" spans="1:7">
      <c r="A26" s="99"/>
      <c r="C26" t="s">
        <v>162</v>
      </c>
    </row>
    <row r="27" spans="1:7">
      <c r="A27" s="99"/>
      <c r="B27" s="96">
        <f>$B$24*7.65%</f>
        <v>3813.0277499999997</v>
      </c>
      <c r="C27" t="s">
        <v>161</v>
      </c>
    </row>
    <row r="28" spans="1:7">
      <c r="A28" s="99"/>
      <c r="B28" s="102">
        <f>$B$24*1.5%</f>
        <v>747.65249999999992</v>
      </c>
      <c r="C28" t="s">
        <v>160</v>
      </c>
    </row>
    <row r="29" spans="1:7">
      <c r="A29" s="99"/>
      <c r="B29" s="102">
        <f>$B$24*0.1%</f>
        <v>49.843499999999999</v>
      </c>
      <c r="C29" t="s">
        <v>159</v>
      </c>
    </row>
    <row r="30" spans="1:7">
      <c r="A30" s="99"/>
      <c r="B30" s="101">
        <f>$B$24*1.5%</f>
        <v>747.65249999999992</v>
      </c>
      <c r="C30" t="s">
        <v>158</v>
      </c>
    </row>
    <row r="31" spans="1:7">
      <c r="A31" s="99" t="s">
        <v>149</v>
      </c>
      <c r="B31" s="96">
        <f>SUM(B27:B30)</f>
        <v>5358.1762499999995</v>
      </c>
      <c r="C31" t="s">
        <v>157</v>
      </c>
    </row>
    <row r="32" spans="1:7">
      <c r="A32" s="99"/>
    </row>
    <row r="33" spans="1:9">
      <c r="A33" s="99"/>
      <c r="B33" s="100">
        <f>B31+B24</f>
        <v>55201.676249999997</v>
      </c>
      <c r="C33" t="s">
        <v>156</v>
      </c>
    </row>
    <row r="34" spans="1:9">
      <c r="A34" s="99"/>
    </row>
    <row r="35" spans="1:9" ht="15.75" thickBot="1">
      <c r="A35" s="98" t="s">
        <v>155</v>
      </c>
      <c r="B35" s="97">
        <f>ROUND(B19-B33,0)</f>
        <v>97855</v>
      </c>
      <c r="C35" t="s">
        <v>154</v>
      </c>
    </row>
    <row r="37" spans="1:9" ht="3.75" customHeight="1">
      <c r="B37" s="96"/>
    </row>
    <row r="38" spans="1:9">
      <c r="A38" s="180" t="s">
        <v>153</v>
      </c>
      <c r="B38" s="180"/>
      <c r="C38" s="180"/>
      <c r="D38" s="180"/>
      <c r="E38" s="180"/>
      <c r="F38" s="180"/>
      <c r="G38" s="180"/>
    </row>
    <row r="39" spans="1:9">
      <c r="C39" s="95" t="s">
        <v>152</v>
      </c>
      <c r="D39" s="95" t="s">
        <v>151</v>
      </c>
      <c r="E39" s="95" t="s">
        <v>150</v>
      </c>
      <c r="F39" s="95" t="s">
        <v>149</v>
      </c>
      <c r="G39" s="95" t="s">
        <v>148</v>
      </c>
    </row>
    <row r="40" spans="1:9" ht="45">
      <c r="A40" s="138" t="s">
        <v>194</v>
      </c>
      <c r="B40" s="94" t="s">
        <v>195</v>
      </c>
      <c r="C40" s="94" t="s">
        <v>147</v>
      </c>
      <c r="D40" s="92" t="s">
        <v>146</v>
      </c>
      <c r="E40" s="94" t="s">
        <v>145</v>
      </c>
      <c r="F40" s="93" t="s">
        <v>144</v>
      </c>
      <c r="G40" s="92" t="s">
        <v>192</v>
      </c>
      <c r="I40" s="92" t="s">
        <v>268</v>
      </c>
    </row>
    <row r="41" spans="1:9">
      <c r="A41" s="91" t="s">
        <v>143</v>
      </c>
      <c r="B41" s="90" t="s">
        <v>142</v>
      </c>
      <c r="C41" s="89">
        <v>92277</v>
      </c>
      <c r="D41" s="89">
        <v>23069</v>
      </c>
      <c r="E41" s="89">
        <v>35338</v>
      </c>
      <c r="F41" s="88">
        <v>3799</v>
      </c>
      <c r="G41" s="87">
        <f t="shared" ref="G41:G49" si="0">(C41+D41)-(E41+F41)</f>
        <v>76209</v>
      </c>
      <c r="I41" s="170" t="s">
        <v>267</v>
      </c>
    </row>
    <row r="42" spans="1:9">
      <c r="A42" s="86" t="s">
        <v>142</v>
      </c>
      <c r="B42" s="85" t="s">
        <v>141</v>
      </c>
      <c r="C42" s="84">
        <v>92617</v>
      </c>
      <c r="D42" s="84">
        <v>23154</v>
      </c>
      <c r="E42" s="84">
        <v>37690</v>
      </c>
      <c r="F42" s="83">
        <v>4052</v>
      </c>
      <c r="G42" s="82">
        <f t="shared" si="0"/>
        <v>74029</v>
      </c>
      <c r="I42" s="168">
        <f>(G42-G41)/G41</f>
        <v>-2.8605545276804575E-2</v>
      </c>
    </row>
    <row r="43" spans="1:9">
      <c r="A43" s="81" t="s">
        <v>141</v>
      </c>
      <c r="B43" s="80" t="s">
        <v>140</v>
      </c>
      <c r="C43" s="79">
        <v>96281</v>
      </c>
      <c r="D43" s="79">
        <v>24070</v>
      </c>
      <c r="E43" s="79">
        <v>39086</v>
      </c>
      <c r="F43" s="78">
        <v>4202</v>
      </c>
      <c r="G43" s="77">
        <f t="shared" si="0"/>
        <v>77063</v>
      </c>
      <c r="I43" s="169">
        <f t="shared" ref="I43:I49" si="1">(G43-G42)/G42</f>
        <v>4.0983938726715206E-2</v>
      </c>
    </row>
    <row r="44" spans="1:9">
      <c r="A44" s="86" t="s">
        <v>140</v>
      </c>
      <c r="B44" s="85" t="s">
        <v>139</v>
      </c>
      <c r="C44" s="84">
        <v>99300</v>
      </c>
      <c r="D44" s="84">
        <v>24825</v>
      </c>
      <c r="E44" s="84">
        <v>39617</v>
      </c>
      <c r="F44" s="83">
        <v>4258</v>
      </c>
      <c r="G44" s="82">
        <f t="shared" si="0"/>
        <v>80250</v>
      </c>
      <c r="I44" s="168">
        <f t="shared" si="1"/>
        <v>4.135577384737163E-2</v>
      </c>
    </row>
    <row r="45" spans="1:9">
      <c r="A45" s="81" t="s">
        <v>139</v>
      </c>
      <c r="B45" s="80" t="s">
        <v>138</v>
      </c>
      <c r="C45" s="79">
        <v>102001</v>
      </c>
      <c r="D45" s="79">
        <v>25500</v>
      </c>
      <c r="E45" s="79">
        <v>40404</v>
      </c>
      <c r="F45" s="78">
        <v>4343</v>
      </c>
      <c r="G45" s="77">
        <f t="shared" si="0"/>
        <v>82754</v>
      </c>
      <c r="I45" s="169">
        <f t="shared" si="1"/>
        <v>3.1202492211838007E-2</v>
      </c>
    </row>
    <row r="46" spans="1:9">
      <c r="A46" s="86" t="s">
        <v>138</v>
      </c>
      <c r="B46" s="85" t="s">
        <v>137</v>
      </c>
      <c r="C46" s="84">
        <v>105033</v>
      </c>
      <c r="D46" s="84">
        <v>26258.25</v>
      </c>
      <c r="E46" s="84">
        <v>40199.25</v>
      </c>
      <c r="F46" s="83">
        <v>4321.4193749999995</v>
      </c>
      <c r="G46" s="82">
        <f t="shared" si="0"/>
        <v>86770.580625000002</v>
      </c>
      <c r="I46" s="168">
        <f t="shared" si="1"/>
        <v>4.8536392500664646E-2</v>
      </c>
    </row>
    <row r="47" spans="1:9">
      <c r="A47" s="81" t="s">
        <v>137</v>
      </c>
      <c r="B47" s="80" t="s">
        <v>193</v>
      </c>
      <c r="C47" s="79">
        <v>108347</v>
      </c>
      <c r="D47" s="79">
        <v>27086.75</v>
      </c>
      <c r="E47" s="79">
        <v>43596</v>
      </c>
      <c r="F47" s="78">
        <v>4686.57</v>
      </c>
      <c r="G47" s="77">
        <f t="shared" si="0"/>
        <v>87151.18</v>
      </c>
      <c r="I47" s="169">
        <f t="shared" si="1"/>
        <v>4.3862720781464252E-3</v>
      </c>
    </row>
    <row r="48" spans="1:9">
      <c r="A48" s="86" t="s">
        <v>193</v>
      </c>
      <c r="B48" s="85" t="s">
        <v>196</v>
      </c>
      <c r="C48" s="84">
        <v>114630</v>
      </c>
      <c r="D48" s="84">
        <v>28657.5</v>
      </c>
      <c r="E48" s="84">
        <v>45848.25</v>
      </c>
      <c r="F48" s="83">
        <v>4928.6868750000003</v>
      </c>
      <c r="G48" s="82">
        <f t="shared" si="0"/>
        <v>92510.563125000001</v>
      </c>
      <c r="I48" s="168">
        <f t="shared" si="1"/>
        <v>6.1495244527957141E-2</v>
      </c>
    </row>
    <row r="49" spans="1:9">
      <c r="A49" s="81" t="s">
        <v>196</v>
      </c>
      <c r="B49" s="80" t="s">
        <v>266</v>
      </c>
      <c r="C49" s="79">
        <f>B17</f>
        <v>122445</v>
      </c>
      <c r="D49" s="79">
        <f>B18</f>
        <v>30611.25</v>
      </c>
      <c r="E49" s="79">
        <f>B24</f>
        <v>49843.5</v>
      </c>
      <c r="F49" s="78">
        <f>B31</f>
        <v>5358.1762499999995</v>
      </c>
      <c r="G49" s="77">
        <f t="shared" si="0"/>
        <v>97854.57375000001</v>
      </c>
      <c r="I49" s="169">
        <f t="shared" si="1"/>
        <v>5.7766491138738378E-2</v>
      </c>
    </row>
  </sheetData>
  <mergeCells count="19">
    <mergeCell ref="A8:B8"/>
    <mergeCell ref="C8:G8"/>
    <mergeCell ref="A9:B9"/>
    <mergeCell ref="A3:G3"/>
    <mergeCell ref="A4:G4"/>
    <mergeCell ref="B5:G5"/>
    <mergeCell ref="B6:G6"/>
    <mergeCell ref="A7:G7"/>
    <mergeCell ref="A15:G15"/>
    <mergeCell ref="C22:G22"/>
    <mergeCell ref="A38:G38"/>
    <mergeCell ref="C9:G9"/>
    <mergeCell ref="A10:G10"/>
    <mergeCell ref="A11:B11"/>
    <mergeCell ref="C11:G11"/>
    <mergeCell ref="B13:G13"/>
    <mergeCell ref="B14:G14"/>
    <mergeCell ref="A12:B12"/>
    <mergeCell ref="C12:G12"/>
  </mergeCells>
  <printOptions horizontalCentered="1"/>
  <pageMargins left="0.7" right="0.7" top="0.75" bottom="0.75" header="0.3" footer="0.3"/>
  <pageSetup scale="85" orientation="portrait" r:id="rId1"/>
  <headerFooter>
    <oddFooter>&amp;LCalifornia Community Colleges Chancellor's Office&amp;R&amp;D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Table of Contents</vt:lpstr>
      <vt:lpstr>Fall 2024 FON Compliance Form</vt:lpstr>
      <vt:lpstr>Fall 2024 Compliance FON</vt:lpstr>
      <vt:lpstr>Definitions</vt:lpstr>
      <vt:lpstr>Fall 2024 P2 FON Calculation</vt:lpstr>
      <vt:lpstr>FON Estimator</vt:lpstr>
      <vt:lpstr>ReplacementCost</vt:lpstr>
      <vt:lpstr>Fall2024ComplianceFON</vt:lpstr>
      <vt:lpstr>Fall2024P2</vt:lpstr>
      <vt:lpstr>'Fall 2024 Compliance FON'!Print_Area</vt:lpstr>
      <vt:lpstr>'Fall 2024 FON Compliance Form'!Print_Area</vt:lpstr>
      <vt:lpstr>'Fall 2024 P2 FON Calculation'!Print_Area</vt:lpstr>
      <vt:lpstr>'FON Estimator'!Print_Area</vt:lpstr>
      <vt:lpstr>ReplacementCost!Print_Area</vt:lpstr>
      <vt:lpstr>'Fall 2024 Compliance FON'!Print_Titles</vt:lpstr>
      <vt:lpstr>'Fall 2024 P2 FON Calculation'!Print_Titles</vt:lpstr>
      <vt:lpstr>ReplacementCost!Print_Titles</vt:lpstr>
    </vt:vector>
  </TitlesOfParts>
  <Company>CCCCO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Smallwood, Jubilee</dc:creator>
  <cp:lastModifiedBy>Anna Gonzalez</cp:lastModifiedBy>
  <cp:lastPrinted>2023-07-18T22:14:17Z</cp:lastPrinted>
  <dcterms:created xsi:type="dcterms:W3CDTF">2023-01-09T18:41:27Z</dcterms:created>
  <dcterms:modified xsi:type="dcterms:W3CDTF">2024-11-01T18:47:00Z</dcterms:modified>
</cp:coreProperties>
</file>